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omments1.xml" ContentType="application/vnd.openxmlformats-officedocument.spreadsheetml.comments+xml"/>
  <Override PartName="/xl/customProperty5.bin" ContentType="application/vnd.openxmlformats-officedocument.spreadsheetml.customProperty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urriculum 2- 2565\2-2565\HMS2401 Finance, Accounting and Tax\Chapter 3\"/>
    </mc:Choice>
  </mc:AlternateContent>
  <xr:revisionPtr revIDLastSave="0" documentId="8_{35A27E31-F39A-414C-A341-919A19B7B77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L" sheetId="1" r:id="rId1"/>
    <sheet name="PF" sheetId="10" r:id="rId2"/>
    <sheet name="CF" sheetId="7" r:id="rId3"/>
    <sheet name="Other-SH" sheetId="5" r:id="rId4"/>
    <sheet name="CF_Old" sheetId="6" state="hidden" r:id="rId5"/>
    <sheet name="worksheetCF" sheetId="9" state="hidden" r:id="rId6"/>
    <sheet name="worksheet CF" sheetId="4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BU">[1]Parameter!$F$7</definedName>
    <definedName name="_xlnm.Print_Area" localSheetId="0">BL!$A$1:$L$71</definedName>
    <definedName name="_xlnm.Print_Area" localSheetId="2">CF!$A$1:$I$83</definedName>
    <definedName name="_xlnm.Print_Area" localSheetId="4">CF_Old!$A$1:$I$55</definedName>
    <definedName name="_xlnm.Print_Area" localSheetId="3">'Other-SH'!$A$1:$L$49</definedName>
    <definedName name="_xlnm.Print_Area" localSheetId="1">PF!$A$1:$L$40</definedName>
    <definedName name="_xlnm.Print_Area" localSheetId="5">worksheetCF!$A$1:$J$45</definedName>
    <definedName name="TRN_F">[1]Parameter!$F$11</definedName>
    <definedName name="TRN_T">[1]Parameter!$F$12</definedName>
    <definedName name="Z_A3B3E038_AAE0_4F24_B01A_BCF5B017EAC3_.wvu.PrintArea" localSheetId="3" hidden="1">'Other-SH'!#REF!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2" i="10" l="1"/>
  <c r="J22" i="10"/>
  <c r="N21" i="10"/>
  <c r="O21" i="10" s="1"/>
  <c r="N19" i="10"/>
  <c r="O19" i="10" s="1"/>
  <c r="N18" i="10"/>
  <c r="O18" i="10" s="1"/>
  <c r="N17" i="10"/>
  <c r="O17" i="10" s="1"/>
  <c r="L14" i="10"/>
  <c r="L23" i="10" s="1"/>
  <c r="L25" i="10" s="1"/>
  <c r="J14" i="10"/>
  <c r="J23" i="10" s="1"/>
  <c r="J25" i="10" s="1"/>
  <c r="N13" i="10"/>
  <c r="O13" i="10" s="1"/>
  <c r="N12" i="10"/>
  <c r="O12" i="10" s="1"/>
  <c r="N11" i="10"/>
  <c r="O11" i="10" s="1"/>
  <c r="N10" i="10"/>
  <c r="O10" i="10" s="1"/>
  <c r="N9" i="10"/>
  <c r="O9" i="10" s="1"/>
  <c r="L28" i="10" l="1"/>
  <c r="L27" i="10"/>
  <c r="J28" i="10"/>
  <c r="J27" i="10"/>
  <c r="G30" i="7"/>
  <c r="L40" i="5"/>
  <c r="J40" i="5"/>
  <c r="H35" i="5"/>
  <c r="F35" i="5"/>
  <c r="D35" i="5"/>
  <c r="I70" i="7" l="1"/>
  <c r="I62" i="7"/>
  <c r="I22" i="7"/>
  <c r="I38" i="7" s="1"/>
  <c r="I55" i="7" s="1"/>
  <c r="I72" i="7" s="1"/>
  <c r="I74" i="7" s="1"/>
  <c r="H41" i="5" l="1"/>
  <c r="H42" i="5" s="1"/>
  <c r="F41" i="5"/>
  <c r="D41" i="5"/>
  <c r="L41" i="5"/>
  <c r="J38" i="5"/>
  <c r="H38" i="5"/>
  <c r="F38" i="5"/>
  <c r="D38" i="5"/>
  <c r="D42" i="5" s="1"/>
  <c r="L38" i="5"/>
  <c r="H17" i="5"/>
  <c r="F17" i="5"/>
  <c r="D17" i="5"/>
  <c r="F42" i="5" l="1"/>
  <c r="L42" i="5"/>
  <c r="M42" i="5" s="1"/>
  <c r="J41" i="5"/>
  <c r="J42" i="5" s="1"/>
  <c r="D14" i="5" l="1"/>
  <c r="F14" i="5"/>
  <c r="H14" i="5"/>
  <c r="J14" i="5"/>
  <c r="L18" i="1" l="1"/>
  <c r="L65" i="1" l="1"/>
  <c r="L53" i="1"/>
  <c r="J18" i="1"/>
  <c r="L66" i="1" l="1"/>
  <c r="J53" i="1"/>
  <c r="G62" i="7" l="1"/>
  <c r="G70" i="7" l="1"/>
  <c r="L13" i="5" l="1"/>
  <c r="L14" i="5" s="1"/>
  <c r="H18" i="5" l="1"/>
  <c r="F18" i="5"/>
  <c r="D18" i="5"/>
  <c r="G50" i="6" l="1"/>
  <c r="I23" i="4"/>
  <c r="I24" i="4"/>
  <c r="N27" i="4"/>
  <c r="O27" i="4"/>
  <c r="H23" i="9"/>
  <c r="J23" i="9" s="1"/>
  <c r="H24" i="9"/>
  <c r="J24" i="9" s="1"/>
  <c r="O23" i="9"/>
  <c r="Q23" i="9" s="1"/>
  <c r="O24" i="9"/>
  <c r="Q24" i="9" s="1"/>
  <c r="O26" i="9"/>
  <c r="Q26" i="9" s="1"/>
  <c r="H10" i="9"/>
  <c r="J10" i="9" s="1"/>
  <c r="H11" i="9"/>
  <c r="J11" i="9" s="1"/>
  <c r="I46" i="9"/>
  <c r="H43" i="9"/>
  <c r="J43" i="9" s="1"/>
  <c r="H42" i="9"/>
  <c r="J42" i="9" s="1"/>
  <c r="J41" i="9"/>
  <c r="J40" i="9"/>
  <c r="H39" i="9"/>
  <c r="J39" i="9" s="1"/>
  <c r="H38" i="9"/>
  <c r="J38" i="9" s="1"/>
  <c r="H37" i="9"/>
  <c r="J37" i="9" s="1"/>
  <c r="J36" i="9"/>
  <c r="H35" i="9"/>
  <c r="J35" i="9" s="1"/>
  <c r="J34" i="9"/>
  <c r="J33" i="9"/>
  <c r="J32" i="9"/>
  <c r="H29" i="9"/>
  <c r="J29" i="9" s="1"/>
  <c r="H28" i="9"/>
  <c r="J28" i="9" s="1"/>
  <c r="H27" i="9"/>
  <c r="H26" i="9"/>
  <c r="J26" i="9" s="1"/>
  <c r="H25" i="9"/>
  <c r="J25" i="9" s="1"/>
  <c r="H22" i="9"/>
  <c r="J22" i="9" s="1"/>
  <c r="H18" i="9"/>
  <c r="J18" i="9" s="1"/>
  <c r="H17" i="9"/>
  <c r="J17" i="9" s="1"/>
  <c r="H16" i="9"/>
  <c r="J16" i="9" s="1"/>
  <c r="H15" i="9"/>
  <c r="J15" i="9" s="1"/>
  <c r="J14" i="9"/>
  <c r="H13" i="9"/>
  <c r="J13" i="9" s="1"/>
  <c r="H12" i="9"/>
  <c r="J12" i="9" s="1"/>
  <c r="J9" i="9"/>
  <c r="H8" i="9"/>
  <c r="J8" i="9" s="1"/>
  <c r="H7" i="9"/>
  <c r="J7" i="9" s="1"/>
  <c r="H5" i="9"/>
  <c r="J5" i="9" s="1"/>
  <c r="J6" i="9"/>
  <c r="G19" i="6"/>
  <c r="G30" i="6" s="1"/>
  <c r="G42" i="6"/>
  <c r="G41" i="6"/>
  <c r="I50" i="6"/>
  <c r="I43" i="6"/>
  <c r="I19" i="6"/>
  <c r="I30" i="6" s="1"/>
  <c r="G27" i="4"/>
  <c r="G28" i="4" s="1"/>
  <c r="H53" i="4"/>
  <c r="H54" i="4"/>
  <c r="H55" i="4"/>
  <c r="H56" i="4"/>
  <c r="H57" i="4"/>
  <c r="H58" i="4"/>
  <c r="I48" i="4"/>
  <c r="G61" i="4"/>
  <c r="G62" i="4"/>
  <c r="G63" i="4"/>
  <c r="G64" i="4"/>
  <c r="G65" i="4"/>
  <c r="H27" i="4"/>
  <c r="H28" i="4" s="1"/>
  <c r="H41" i="4"/>
  <c r="H18" i="4"/>
  <c r="H19" i="4" s="1"/>
  <c r="G41" i="4"/>
  <c r="G16" i="4"/>
  <c r="I16" i="4" s="1"/>
  <c r="I40" i="4"/>
  <c r="I39" i="4"/>
  <c r="I36" i="4"/>
  <c r="I35" i="4"/>
  <c r="I34" i="4"/>
  <c r="I32" i="4"/>
  <c r="I26" i="4"/>
  <c r="P26" i="4"/>
  <c r="P25" i="4"/>
  <c r="I25" i="4"/>
  <c r="J25" i="4" s="1"/>
  <c r="P24" i="4"/>
  <c r="P23" i="4"/>
  <c r="I22" i="4"/>
  <c r="I17" i="4"/>
  <c r="I15" i="4"/>
  <c r="I14" i="4"/>
  <c r="I13" i="4"/>
  <c r="I12" i="4"/>
  <c r="I11" i="4"/>
  <c r="I9" i="4"/>
  <c r="I8" i="4"/>
  <c r="I7" i="4"/>
  <c r="I6" i="4"/>
  <c r="I41" i="4" l="1"/>
  <c r="H42" i="4"/>
  <c r="I47" i="4"/>
  <c r="K15" i="9"/>
  <c r="O30" i="9"/>
  <c r="Q30" i="9" s="1"/>
  <c r="K24" i="9" s="1"/>
  <c r="I27" i="4"/>
  <c r="G43" i="6"/>
  <c r="G55" i="6" s="1"/>
  <c r="G56" i="6" s="1"/>
  <c r="H65" i="4"/>
  <c r="H66" i="4" s="1"/>
  <c r="H51" i="4" s="1"/>
  <c r="G42" i="4"/>
  <c r="I42" i="4" s="1"/>
  <c r="I28" i="4"/>
  <c r="H30" i="9"/>
  <c r="J30" i="9" s="1"/>
  <c r="K10" i="9"/>
  <c r="H19" i="9"/>
  <c r="J19" i="9" s="1"/>
  <c r="P27" i="4"/>
  <c r="J27" i="4" s="1"/>
  <c r="G44" i="4"/>
  <c r="J11" i="4"/>
  <c r="I52" i="6"/>
  <c r="I54" i="6" s="1"/>
  <c r="G9" i="7"/>
  <c r="H43" i="4"/>
  <c r="I50" i="4"/>
  <c r="I46" i="4" s="1"/>
  <c r="J27" i="9"/>
  <c r="G18" i="4"/>
  <c r="H44" i="9"/>
  <c r="J44" i="9" s="1"/>
  <c r="H31" i="9" l="1"/>
  <c r="H45" i="9" s="1"/>
  <c r="J24" i="4"/>
  <c r="G22" i="7"/>
  <c r="G38" i="7" s="1"/>
  <c r="G55" i="7" s="1"/>
  <c r="I18" i="4"/>
  <c r="G19" i="4"/>
  <c r="J65" i="1" l="1"/>
  <c r="J66" i="1" s="1"/>
  <c r="J31" i="9"/>
  <c r="G72" i="7"/>
  <c r="G74" i="7" s="1"/>
  <c r="J45" i="9"/>
  <c r="H46" i="9"/>
  <c r="I19" i="4"/>
  <c r="G43" i="4"/>
  <c r="L16" i="5" l="1"/>
  <c r="J17" i="5"/>
  <c r="J18" i="5" s="1"/>
  <c r="L17" i="5" l="1"/>
  <c r="L18" i="5" s="1"/>
  <c r="M18" i="5" s="1"/>
  <c r="N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techin.m</author>
  </authors>
  <commentList>
    <comment ref="G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techin.m:</t>
        </r>
        <r>
          <rPr>
            <sz val="8"/>
            <color indexed="81"/>
            <rFont val="Tahoma"/>
            <family val="2"/>
          </rPr>
          <t xml:space="preserve">
จาก P/L</t>
        </r>
      </text>
    </comment>
    <comment ref="G5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techin.m:</t>
        </r>
        <r>
          <rPr>
            <sz val="8"/>
            <color indexed="81"/>
            <rFont val="Tahoma"/>
            <family val="2"/>
          </rPr>
          <t xml:space="preserve">
ต้นงวดลบปลายงวด
</t>
        </r>
      </text>
    </comment>
    <comment ref="G5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techin.m:</t>
        </r>
        <r>
          <rPr>
            <sz val="8"/>
            <color indexed="81"/>
            <rFont val="Tahoma"/>
            <family val="2"/>
          </rPr>
          <t xml:space="preserve">
จาก B/S</t>
        </r>
      </text>
    </comment>
    <comment ref="G54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techin.m:</t>
        </r>
        <r>
          <rPr>
            <sz val="8"/>
            <color indexed="81"/>
            <rFont val="Tahoma"/>
            <family val="2"/>
          </rPr>
          <t xml:space="preserve">
จาก B/S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KSEC</author>
  </authors>
  <commentList>
    <comment ref="I14" authorId="0" shapeId="0" xr:uid="{00000000-0006-0000-0400-000001000000}">
      <text>
        <r>
          <rPr>
            <sz val="10"/>
            <rFont val="Arial"/>
            <family val="2"/>
          </rPr>
          <t>KSEC:</t>
        </r>
        <r>
          <rPr>
            <sz val="10"/>
            <rFont val="Arial"/>
            <family val="2"/>
          </rPr>
          <t xml:space="preserve">
บัญชี 145120-145130,
          156120</t>
        </r>
      </text>
    </comment>
    <comment ref="J18" authorId="0" shapeId="0" xr:uid="{00000000-0006-0000-0400-000002000000}">
      <text>
        <r>
          <rPr>
            <sz val="10"/>
            <rFont val="Arial"/>
            <family val="2"/>
          </rPr>
          <t xml:space="preserve">KSEC:
</t>
        </r>
        <r>
          <rPr>
            <sz val="10"/>
            <rFont val="Arial"/>
            <family val="2"/>
          </rPr>
          <t xml:space="preserve">
1.บวกกลับ VAT รอใบกำกับ KF ตาม Note 1 เวลาทำ Cashflow</t>
        </r>
      </text>
    </comment>
    <comment ref="H26" authorId="0" shapeId="0" xr:uid="{00000000-0006-0000-0400-000003000000}">
      <text>
        <r>
          <rPr>
            <sz val="10"/>
            <rFont val="Arial"/>
            <family val="2"/>
          </rPr>
          <t>KSEC:</t>
        </r>
        <r>
          <rPr>
            <sz val="10"/>
            <rFont val="Arial"/>
            <family val="2"/>
          </rPr>
          <t xml:space="preserve">
บัญชี 
- 243110 ค่าใช้จ่ายค้างจ่าย
- 243120 โบนัสค้างจ่าย
- 243121 Incentive ค้างจ่าย</t>
        </r>
      </text>
    </comment>
    <comment ref="I26" authorId="0" shapeId="0" xr:uid="{00000000-0006-0000-0400-000004000000}">
      <text>
        <r>
          <rPr>
            <sz val="10"/>
            <rFont val="Arial"/>
            <family val="2"/>
          </rPr>
          <t>KSEC:</t>
        </r>
        <r>
          <rPr>
            <sz val="10"/>
            <rFont val="Arial"/>
            <family val="2"/>
          </rPr>
          <t xml:space="preserve">
บัญชี 
- 243110 ค่าใช้จ่ายค้างจ่าย
- 243120 โบนัสค้างจ่าย
- 243121 Incentive ค้างจ่าย</t>
        </r>
      </text>
    </comment>
    <comment ref="K30" authorId="0" shapeId="0" xr:uid="{00000000-0006-0000-0400-000005000000}">
      <text>
        <r>
          <rPr>
            <sz val="10"/>
            <rFont val="Arial"/>
            <family val="2"/>
          </rPr>
          <t>KSEC:</t>
        </r>
        <r>
          <rPr>
            <sz val="10"/>
            <rFont val="Arial"/>
            <family val="2"/>
          </rPr>
          <t xml:space="preserve">
1.หักเจ้าหนี้อื่น ท/ส  ยังไม่จ่ายเงิน (AP-FA)
2. หักเจ้าหนี้ตามสัญญา (ปีแรก)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KSEC</author>
  </authors>
  <commentList>
    <comment ref="G15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KSEC:</t>
        </r>
        <r>
          <rPr>
            <sz val="8"/>
            <color indexed="81"/>
            <rFont val="Tahoma"/>
            <family val="2"/>
          </rPr>
          <t xml:space="preserve">
บัญชี 145120-145130</t>
        </r>
      </text>
    </comment>
    <comment ref="H15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KSEC:</t>
        </r>
        <r>
          <rPr>
            <sz val="8"/>
            <color indexed="81"/>
            <rFont val="Tahoma"/>
            <family val="2"/>
          </rPr>
          <t xml:space="preserve">
บัญชี 145120-145130</t>
        </r>
      </text>
    </comment>
    <comment ref="I18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 xml:space="preserve">KSEC:
</t>
        </r>
        <r>
          <rPr>
            <sz val="8"/>
            <color indexed="81"/>
            <rFont val="Tahoma"/>
            <family val="2"/>
          </rPr>
          <t xml:space="preserve">
1.บวกกลับ VAT รอใบกำกับ KF ตาม Note 1 เวลาทำ Cashflow</t>
        </r>
      </text>
    </comment>
    <comment ref="G25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KSEC:</t>
        </r>
        <r>
          <rPr>
            <sz val="8"/>
            <color indexed="81"/>
            <rFont val="Tahoma"/>
            <family val="2"/>
          </rPr>
          <t xml:space="preserve">
บัญชี 
- 243110 ค่าใช้จ่ายค้างจ่าย
- 243120 โบนัสค้างจ่าย
- 243121 Incentive ค้างจ่าย</t>
        </r>
      </text>
    </comment>
    <comment ref="H25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KSEC:</t>
        </r>
        <r>
          <rPr>
            <sz val="8"/>
            <color indexed="81"/>
            <rFont val="Tahoma"/>
            <family val="2"/>
          </rPr>
          <t xml:space="preserve">
บัญชี 
- 243110 ค่าใช้จ่ายค้างจ่าย
- 243120 โบนัสค้างจ่าย
- 243121 Incentive ค้างจ่าย</t>
        </r>
      </text>
    </comment>
    <comment ref="J25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KSEC:</t>
        </r>
        <r>
          <rPr>
            <sz val="8"/>
            <color indexed="81"/>
            <rFont val="Tahoma"/>
            <family val="2"/>
          </rPr>
          <t xml:space="preserve">
1.หักเจ้าหนี้อื่น ท/ส ไม่มีตัวตน ยังไม่จ่ายเงิน (AP-FA)
</t>
        </r>
      </text>
    </comment>
    <comment ref="J27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KSEC:</t>
        </r>
        <r>
          <rPr>
            <sz val="8"/>
            <color indexed="81"/>
            <rFont val="Tahoma"/>
            <family val="2"/>
          </rPr>
          <t xml:space="preserve">
1.หักเจ้าหนี้อื่น ท/ส  ยังไม่จ่ายเงิน (AP-FA)
2. หักเจ้าหนี้ตามสัญญา (ปีแรก)</t>
        </r>
      </text>
    </comment>
    <comment ref="G48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KSEC:</t>
        </r>
        <r>
          <rPr>
            <sz val="8"/>
            <color indexed="81"/>
            <rFont val="Tahoma"/>
            <family val="2"/>
          </rPr>
          <t xml:space="preserve">
613110 ดอกเบี้ยจ่าย</t>
        </r>
      </text>
    </comment>
    <comment ref="J48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KSEC:</t>
        </r>
        <r>
          <rPr>
            <sz val="8"/>
            <color indexed="81"/>
            <rFont val="Tahoma"/>
            <family val="2"/>
          </rPr>
          <t xml:space="preserve">
ปรับปรุง VAT
-ดอกเบี้ยรอตัดจ่ายที่ ลดลง</t>
        </r>
      </text>
    </comment>
    <comment ref="D50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KSEC:</t>
        </r>
        <r>
          <rPr>
            <sz val="8"/>
            <color indexed="81"/>
            <rFont val="Tahoma"/>
            <family val="2"/>
          </rPr>
          <t xml:space="preserve">
KF
จ่ายงวดที่ 8 ในเดือน มีค.09 VAT cleam 55.49%  4,791.29
จ่ายงวดที่ 5 ในเดือน มิย.08
จ่ายงวดที่ 6 ในเดือน กย.08
จ่ายงวดที่ 7 ในเดือน ธค.08
HP
จ่ายงวดที่ 1-3 ในเดือน มค.09 VAT cleam 55.49% 19,816.30
จ่ายงวดที่ 4     ในเดือน กพ.09  VAT cleam 55.49%  6,605.44          
ค้างจ่ายงวดที่ 5ในเดือน มีค.09  VAT cleam 55.49%  6,605.43                </t>
        </r>
      </text>
    </comment>
    <comment ref="H53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KSEC:</t>
        </r>
        <r>
          <rPr>
            <sz val="8"/>
            <color indexed="81"/>
            <rFont val="Tahoma"/>
            <family val="2"/>
          </rPr>
          <t xml:space="preserve">
KF ค่างวด+VAT=123,350+8634.5=131984.50/งวด
HP ค่างวด+VAT=170,054.71+11,903.83=181,958.54/งวด #5
HP ค่างวด+VAT=32,400.00+2,268.00=34,668.00/งวด #6
HP ค่างวด+VAT=41,405.00+2,898.35=44,303.35/งวด #7
HP ค่างวด+VAT=8,049.60+563.47=8,613.07/งวด #8
KL ค่างวด+VAT=143,000+10,010.00=153,010.00/งวด</t>
        </r>
      </text>
    </comment>
    <comment ref="G59" authorId="0" shapeId="0" xr:uid="{00000000-0006-0000-0500-00000C000000}">
      <text>
        <r>
          <rPr>
            <b/>
            <sz val="8"/>
            <color indexed="81"/>
            <rFont val="Tahoma"/>
            <family val="2"/>
          </rPr>
          <t>KSEC:</t>
        </r>
        <r>
          <rPr>
            <sz val="8"/>
            <color indexed="81"/>
            <rFont val="Tahoma"/>
            <family val="2"/>
          </rPr>
          <t xml:space="preserve">
บัญชี 613110
ดอกเบี้ยจ่าย-Leasing</t>
        </r>
      </text>
    </comment>
  </commentList>
</comments>
</file>

<file path=xl/sharedStrings.xml><?xml version="1.0" encoding="utf-8"?>
<sst xmlns="http://schemas.openxmlformats.org/spreadsheetml/2006/main" count="425" uniqueCount="253">
  <si>
    <t>งบดุล</t>
  </si>
  <si>
    <t>สินทรัพย์</t>
  </si>
  <si>
    <t>รวมสินทรัพย์</t>
  </si>
  <si>
    <t>หนี้สินและส่วนของผู้ถือหุ้น</t>
  </si>
  <si>
    <t>หนี้สินอื่น</t>
  </si>
  <si>
    <t>รวมหนี้สิน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</si>
  <si>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</si>
  <si>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</si>
  <si>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</si>
  <si>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รายได้อื่น</t>
  </si>
  <si>
    <t>งบกระแสเงินสด</t>
  </si>
  <si>
    <t>กระแสเงินสดจากกิจกรรมดำเนินงาน</t>
  </si>
  <si>
    <t>สินทรัพย์อื่น</t>
  </si>
  <si>
    <t>กระแสเงินสดจากกิจกรรมลงทุน</t>
  </si>
  <si>
    <t xml:space="preserve">ทุนเรือนหุ้น </t>
  </si>
  <si>
    <t>หมายเหตุ</t>
  </si>
  <si>
    <t xml:space="preserve">ค่าใช้จ่ายค้างจ่าย </t>
  </si>
  <si>
    <t>ค่าใช้จ่ายอื่น</t>
  </si>
  <si>
    <t>บริษัทหลักทรัพย์ กสิกรไทย จำกัด (มหาชน)</t>
  </si>
  <si>
    <t>ยังไม่ได้จัดสรร</t>
  </si>
  <si>
    <t>ส่วนเกิน</t>
  </si>
  <si>
    <t>มูลค่าหุ้น</t>
  </si>
  <si>
    <t>เงินสดและรายการเทียบเท่าเงินสด</t>
  </si>
  <si>
    <t xml:space="preserve">ส่วนเกินทุนที่เกิดจากการเปลี่ยนแปลงมูลค่าเงินลงทุน </t>
  </si>
  <si>
    <t>จัดสรรแล้ว</t>
  </si>
  <si>
    <t>รายได้</t>
  </si>
  <si>
    <t>รวมรายได้</t>
  </si>
  <si>
    <t>ค่าใช้จ่าย</t>
  </si>
  <si>
    <t>ค่าธรรมเนียมและบริการจ่าย</t>
  </si>
  <si>
    <t>รวมค่าใช้จ่าย</t>
  </si>
  <si>
    <t>ค่าเสื่อมราคาและรายจ่ายตัดบัญชี</t>
  </si>
  <si>
    <t>ส่วนเกินมูลค่าหุ้น</t>
  </si>
  <si>
    <t>เงินสดจ่ายซื้อส่วนปรับปรุงสำนักงานเช่าและอุปกรณ์</t>
  </si>
  <si>
    <t>(บาท)</t>
  </si>
  <si>
    <t xml:space="preserve">   ทุนจดทะเบียน</t>
  </si>
  <si>
    <t>รวมส่วนของ</t>
  </si>
  <si>
    <t>กรรมการ_________________________</t>
  </si>
  <si>
    <t>กรรมการ__________________________</t>
  </si>
  <si>
    <t xml:space="preserve">   หุ้นสามัญ 60,000,000 หุ้น มูลค่าหุ้นละ 5 บาท</t>
  </si>
  <si>
    <t>ลูกหนี้สำนักหักบัญชี</t>
  </si>
  <si>
    <t>เจ้าหนี้สำนักหักบัญชี</t>
  </si>
  <si>
    <t>เงินสดรับจากการจำหน่ายเงินลงทุนในหลักทรัพย์เผื่อขาย</t>
  </si>
  <si>
    <t>กำไรจากการจำหน่ายเงินลงทุนเผื่อขาย</t>
  </si>
  <si>
    <t>กระแสเงินสดจากกิจกรรมจัดหาเงิน</t>
  </si>
  <si>
    <t>เงินสดจ่ายชำระหนี้สินตามสัญญาเช่าการเงิน</t>
  </si>
  <si>
    <t>ลูกหนี้ธุรกิจหลักทรัพย์และสัญญาซื้อขายล่วงหน้า</t>
  </si>
  <si>
    <t>เจ้าหนี้ธุรกิจหลักทรัพย์และสัญญาซื้อขายล่วงหน้า</t>
  </si>
  <si>
    <t>กำไรสะสม</t>
  </si>
  <si>
    <t>ดอกเบี้ยรับ</t>
  </si>
  <si>
    <t>เงินสดจ่ายซื้อสินทรัพย์ไม่มีตัวตน</t>
  </si>
  <si>
    <t>เพิ่ม(ลด)</t>
  </si>
  <si>
    <t>เงินลงทุนในตราสารหนี้และตราสารทุน</t>
  </si>
  <si>
    <t>เงินลงทุนชั่วคราว - สุทธิ</t>
  </si>
  <si>
    <t>เงินลงทุนระยะยาว - สุทธิ</t>
  </si>
  <si>
    <t>เงินลงทุนในบริษัทย่อยและบริษัทร่วม</t>
  </si>
  <si>
    <t xml:space="preserve">ส่วนปรับปรุงสำนักงานเช่าและอุปกรณ์ - สุทธิ </t>
  </si>
  <si>
    <t>สินทรัพย์ที่ไม่มีตัวตน - สุทธิ</t>
  </si>
  <si>
    <t>ดอกเบี้ยค้างรับ</t>
  </si>
  <si>
    <t>รายได้ค้างรับ</t>
  </si>
  <si>
    <t>ภาษีถูกหัก ณ ที่จ่าย</t>
  </si>
  <si>
    <t xml:space="preserve">     เงินกู้ยืม</t>
  </si>
  <si>
    <t>บัญชีลูกค้า</t>
  </si>
  <si>
    <t>บัญชีลูกค้า-Cash balance</t>
  </si>
  <si>
    <t>บัญชีลูกค้า-Cash collateral</t>
  </si>
  <si>
    <t>บัญชีลูกค้า-Derivative</t>
  </si>
  <si>
    <t>เจ้าหนี้-Leaseing</t>
  </si>
  <si>
    <t>บัญชีพักลูกค้า</t>
  </si>
  <si>
    <t>หักออกจาก 6.1</t>
  </si>
  <si>
    <t>บวกเข้า 6</t>
  </si>
  <si>
    <t xml:space="preserve">   ทุนที่ออกจำหน่ายและเรียกชำระแล้ว </t>
  </si>
  <si>
    <t>สำรองตามกฏหมาย</t>
  </si>
  <si>
    <t>Note.</t>
  </si>
  <si>
    <t>1.</t>
  </si>
  <si>
    <t>หัก VAT- Cleam ในปีนี้ KF,HP</t>
  </si>
  <si>
    <t>2.</t>
  </si>
  <si>
    <t>บวก เงินสดจ่ายชำระหนี้ตามสัญญาเช่าทางการเงิน หัก VAT-รอใบกำกับ KF ตาม Note.1</t>
  </si>
  <si>
    <t>3.</t>
  </si>
  <si>
    <t>เจ้าหนี้-Leasing ที่จ่ายไปงวดนี้ หักด้วย ดอกเบี้ยจ่าย และ VAT ที่ใช้ไปงวดนี้ (จ่ายเงินจริง) =126,964.76</t>
  </si>
  <si>
    <t>เงินงวดที่จ่ายในปีนี้</t>
  </si>
  <si>
    <t>ดอกเบี้ยจ่าย งวดนี้ (Cost)</t>
  </si>
  <si>
    <t>ปรับปรุงด/บรอตัด KF+HP 55.48+2,067.94</t>
  </si>
  <si>
    <t>VAT ใช้ไปแล้ว (Cleam)</t>
  </si>
  <si>
    <t xml:space="preserve"> เงินสดจ่ายชำระหนี้สินสัญญาเช่าทางการเงิน</t>
  </si>
  <si>
    <t>เงินงวดที่จ่าย 8-11 (KF)</t>
  </si>
  <si>
    <t>เงินงวดที่จ่าย 1-14 (HP)</t>
  </si>
  <si>
    <t>#5</t>
  </si>
  <si>
    <t>เงินงวดที่จ่าย 1-6 (HP)</t>
  </si>
  <si>
    <t>#6</t>
  </si>
  <si>
    <t>เงินงวดที่จ่าย 1-4 (HP)</t>
  </si>
  <si>
    <t>#7</t>
  </si>
  <si>
    <t>เงินงวดที่จ่าย 2-3 (HP)</t>
  </si>
  <si>
    <t>#8</t>
  </si>
  <si>
    <t>เงินงวดที่จ่าย 1-4 (KL)</t>
  </si>
  <si>
    <t>หัก ดอกเบี้ยจ่ายตาม GL</t>
  </si>
  <si>
    <t xml:space="preserve">       ปรับปรุงด/บรอตัด</t>
  </si>
  <si>
    <t xml:space="preserve">       VAT Cleam แล้ว (KF)</t>
  </si>
  <si>
    <t xml:space="preserve">       VAT Cleam แล้ว (HP)</t>
  </si>
  <si>
    <t>กำไรก่อนภาษีเงินได้</t>
  </si>
  <si>
    <t>ภาษีเงินได้</t>
  </si>
  <si>
    <t>จ่ายต้นทุนทางการเงิน</t>
  </si>
  <si>
    <t>จ่ายภาษีเงินได้</t>
  </si>
  <si>
    <t>2554</t>
  </si>
  <si>
    <t>31 ธันวาคม</t>
  </si>
  <si>
    <t>เงินสดรับจากการกู้ยืม</t>
  </si>
  <si>
    <t>งบแสดงฐานะทางการเงิน</t>
  </si>
  <si>
    <t>ลูกหนี้ธุรกิจหลักทรัพย์และสัญญาซื้อขายล่วงหน้าสุทธิ</t>
  </si>
  <si>
    <t>งบกำไรขาดทุนเบ็ดเสร็จ</t>
  </si>
  <si>
    <t>ต้นทุนทางการเงิน</t>
  </si>
  <si>
    <t>กำไรต่อหุ้นขั้นพื้นฐาน</t>
  </si>
  <si>
    <t>หนี้สูญและหนี้สงสัยจะสูญ</t>
  </si>
  <si>
    <t>รายได้ค้างรับอื่น (เพิ่มขึ้น) ลดลง</t>
  </si>
  <si>
    <t>เงินสดสุทธิใช้ไปในกิจกรรมดำเนินงาน</t>
  </si>
  <si>
    <t>เงินสดสุทธิได้มาจากกิจกรรมจัดหาเงิน</t>
  </si>
  <si>
    <t>เงินสดและรายการเทียบเท่าเงินสดเพิ่มขึ้น (ลดลง) สุทธิ</t>
  </si>
  <si>
    <t>ค่าใช้จ่ายค้างจ่ายลดลง</t>
  </si>
  <si>
    <t>เงินสดจ่ายเงินฝากในนามบริษัทเพื่อลูกค้า</t>
  </si>
  <si>
    <t>เงินสดสุทธิ(ใช้ไปใน)ได้มาจากกิจกรรมลงทุน</t>
  </si>
  <si>
    <t>ดอกเบี้ยจากเงินให้กู้ยืมเพื่อซื้อหลักทรัพย์</t>
  </si>
  <si>
    <t>ดอกเบี้ยรับจากเงินให้กู้ยืมเพื่อซื้อหลักทรัพย์</t>
  </si>
  <si>
    <t>เงินสดรับจากดอกเบี้ยเงินฝากออมทรัพย์</t>
  </si>
  <si>
    <t>สำหรับงวดหกเดือนสิ้นสุดวันที่ 30 มิถุนายน 2555 และ 2554</t>
  </si>
  <si>
    <t>2555</t>
  </si>
  <si>
    <t>จัดสรร</t>
  </si>
  <si>
    <t>ยังไม่ได้</t>
  </si>
  <si>
    <t>สำรองภาระผูกพันผลประโยชน์พนักงาน</t>
  </si>
  <si>
    <t>การเปลี่ยนแปลงในสินทรัพย์และหนี้สินดำเนินงาน</t>
  </si>
  <si>
    <t>เงินสดและรายการเทียบเท่าเงินสด ณ วันที่ 1 มกราคม</t>
  </si>
  <si>
    <t>เงินสดและรายการเทียบเท่าเงินสด ณ วันที่ 30 มิถุนายน</t>
  </si>
  <si>
    <t>สินทรัพย์ตราสารอนุพันธ์</t>
  </si>
  <si>
    <t>ค่าเสื่อมราคา</t>
  </si>
  <si>
    <t>ดอกเบี้ยรับทั้งหมด</t>
  </si>
  <si>
    <t>ดอกเบี้ยจ่ายทั้งหมด</t>
  </si>
  <si>
    <t>เพิ่มทุน</t>
  </si>
  <si>
    <t>กำไรขาดทุนจากการประมาณการทางคณิตศาสตร์ประกันภัย</t>
  </si>
  <si>
    <t>กำไรจากการดำเนินงานก่อนการเปลี่ยนแปลงในสินทรัพย์และหนี้สินดำเนินงาน</t>
  </si>
  <si>
    <t>หนี้สินดำเนินงานเพิ่มขึ้น (ลดลง)</t>
  </si>
  <si>
    <t>ตราสารหนี้ที่ออกและเงินกู้ยืม</t>
  </si>
  <si>
    <t>หนี้สินและส่วนของเจ้าของ</t>
  </si>
  <si>
    <t>ส่วนของเจ้าของ</t>
  </si>
  <si>
    <t>รวมส่วนของเจ้าของ</t>
  </si>
  <si>
    <t>รวมหนี้สินและส่วนของเจ้าของ</t>
  </si>
  <si>
    <t>เจ้าของ</t>
  </si>
  <si>
    <t>งบแสดงการเปลี่ยนแปลงส่วนของเจ้าของ</t>
  </si>
  <si>
    <t>หนี้สิน</t>
  </si>
  <si>
    <t>สินทรัพย์ภาษีเงินได้รอตัดบัญชี</t>
  </si>
  <si>
    <t>หุ้นกู้และตราสารหนี้อื่น</t>
  </si>
  <si>
    <t>หนี้สินตามสัญญาเช่าทางการเงิน</t>
  </si>
  <si>
    <t>สำรองเงินชดเชยเกษียณอายุพนักงาน</t>
  </si>
  <si>
    <t>หนี้สินภาษีเงินได้รอการตัดบัญชี</t>
  </si>
  <si>
    <t>???</t>
  </si>
  <si>
    <t>และชำระแล้ว</t>
  </si>
  <si>
    <t>ลูกหนี้สำนักหักบัญชีและบริษัทหลักทรัพย์</t>
  </si>
  <si>
    <t>เงินกู้ยืมจากสถาบันการเงิน</t>
  </si>
  <si>
    <t>เจ้าหนี้สำนักหักบัญชีและบริษัทหลักทรัพย์</t>
  </si>
  <si>
    <t>ประมาณการหนี้สิน</t>
  </si>
  <si>
    <t>ค่าใช้จ่ายผลประโยชน์พนักงาน</t>
  </si>
  <si>
    <t>ส่วนปรับปรุงสำนักงานเช่าและอุปกรณ์</t>
  </si>
  <si>
    <t>สินทรัพย์ไม่มีตัวตน</t>
  </si>
  <si>
    <t xml:space="preserve">ภาษีเงินได้ค้างจ่าย </t>
  </si>
  <si>
    <t>รายได้ค่านายหน้า</t>
  </si>
  <si>
    <t>รายได้ค่าธรรมเนียมและบริการ</t>
  </si>
  <si>
    <t>ทุนที่ออก</t>
  </si>
  <si>
    <t>เงินปันผลรับ</t>
  </si>
  <si>
    <t>ดอกเบี้ยจ่าย</t>
  </si>
  <si>
    <t>เงินสดรับจากตราสารหนี้ที่ออก</t>
  </si>
  <si>
    <t>-</t>
  </si>
  <si>
    <t>รายการปรับกระทบยอดกำไรก่อนภาษีเป็นเงินสดรับ (จ่าย) จากกิจกรรมดำเนินงาน</t>
  </si>
  <si>
    <t>15, 30</t>
  </si>
  <si>
    <t>เงินสดรับจากการขายส่วนปรับปรุงสำนักงานเช่าและอุปกรณ์</t>
  </si>
  <si>
    <t>สินทรัพย์ดำเนินงานลดลง (เพิ่มขึ้น)</t>
  </si>
  <si>
    <t>- ทุนสำรอง</t>
  </si>
  <si>
    <t>ตามกฎหมาย</t>
  </si>
  <si>
    <t>สินทรัพย์ภาษีเงินได้รอการตัดบัญชีสุทธิ</t>
  </si>
  <si>
    <t>เจ้าหนี้ค่าซื้อส่วนปรับปรุงสำนักงานเช่าและอุปกรณ์เพิ่มขึ้น</t>
  </si>
  <si>
    <t>ข้อมูลเพิ่มเติมเกี่ยวกับกระแสเงินสด</t>
  </si>
  <si>
    <t>รายการที่ไม่ใช่เงินสด:</t>
  </si>
  <si>
    <t xml:space="preserve">   ยังไม่ได้จัดสรร</t>
  </si>
  <si>
    <t xml:space="preserve">   จัดสรรแล้ว - ทุนสำรองตามกฏหมาย</t>
  </si>
  <si>
    <t>รายการกับผู้ถือหุ้นที่บันทึกโดยตรงเข้าส่วนของเจ้าของ</t>
  </si>
  <si>
    <t xml:space="preserve">    เงินปันผลให้ผู้ถือหุ้นของบริษัท</t>
  </si>
  <si>
    <t>รวมรายการกับผู้ถือหุ้นที่บันทึกโดยตรงเข้าส่วนของเจ้าของ</t>
  </si>
  <si>
    <t>เงินปันผลจ่าย</t>
  </si>
  <si>
    <t>เงินสดสุทธิใช้ไปในกิจกรรมจัดหาเงิน</t>
  </si>
  <si>
    <t>ค่าใช้จ่ายส่วนที่สามารถเรียกคืนจากธนาคาร</t>
  </si>
  <si>
    <t>30 มิถุนายน</t>
  </si>
  <si>
    <t>สำหรับงวดหกเดือนสิ้นสุดวันที่</t>
  </si>
  <si>
    <t xml:space="preserve">     กำไรสำหรับงวด</t>
  </si>
  <si>
    <t>กำไรขาดทุนเบ็ดเสร็จสำหรับงวด</t>
  </si>
  <si>
    <t>สินทรัพย์อนุพันธ์</t>
  </si>
  <si>
    <t>เปลี่ยนชื่อ</t>
  </si>
  <si>
    <t>Grouping ใหม่</t>
  </si>
  <si>
    <t>เงินลงทุนที่ไม่ได้วางเป็นประกัน</t>
  </si>
  <si>
    <t>หนี้สินอนุพันธ์</t>
  </si>
  <si>
    <t xml:space="preserve">หนี้สินตามสัญญาเช่า </t>
  </si>
  <si>
    <t>เพิ่มจาก DPP</t>
  </si>
  <si>
    <t>รายได้ดอกเบี้ย</t>
  </si>
  <si>
    <t>เพิ่มตาม SEC</t>
  </si>
  <si>
    <t>ค่าใช้จ่ายดอกเบี้ย</t>
  </si>
  <si>
    <t>แยกรายได้ดอกเบี้ยกับเงินปันผลรับ</t>
  </si>
  <si>
    <t>เปลี่ยนจากเงินลงทุนเฉยๆ</t>
  </si>
  <si>
    <t>เปลี่ยนwording</t>
  </si>
  <si>
    <t>เงินสดจ่ายชำระคืนตราสารหนี้ที่ออกและเงินกู้ยืมอื่นระยะยาว</t>
  </si>
  <si>
    <t>สินทรัพย์สิทธิการใช้</t>
  </si>
  <si>
    <t>กำไรสำหรับงวด</t>
  </si>
  <si>
    <t>เงินสดจ่ายชำระหนี้สินตามสัญญาเช่า</t>
  </si>
  <si>
    <t>เงินให้กู้ยืมแก่พนักงาน</t>
  </si>
  <si>
    <t>กำไร (ขาดทุน) และผลตอบแทนจากเครื่องมือทางการเงิน</t>
  </si>
  <si>
    <t>เงินลงทุนตามวิธีมูลค่ายุติธรรมผ่านกำไรหรือขาดทุนที่ไม่ได้วางประกัน</t>
  </si>
  <si>
    <t>หนี้สินทางการเงินที่กำหนดให้วัดมูลค่ายุติธรรมผ่านกำไรหรือขาดทุน</t>
  </si>
  <si>
    <t>ทุนจดทะเบียน</t>
  </si>
  <si>
    <t>ทุนที่ออกและชำระแล้ว</t>
  </si>
  <si>
    <t>สำหรับงวดหกเดือนสิ้นสุดวันที่ 30 มิถุนายน 2564</t>
  </si>
  <si>
    <t>ยอดคงเหลือ ณ วันที่ 1 มกราคม 2564</t>
  </si>
  <si>
    <t>ยอดคงเหลือ ณ วันที่ 30 มิถุนายน 2564</t>
  </si>
  <si>
    <t>8, 11</t>
  </si>
  <si>
    <t>5, 8, 31</t>
  </si>
  <si>
    <t>6, 8, 31</t>
  </si>
  <si>
    <t>31, 32</t>
  </si>
  <si>
    <t>14, 31</t>
  </si>
  <si>
    <t>16, 31</t>
  </si>
  <si>
    <t>20, 31</t>
  </si>
  <si>
    <t>24, 31</t>
  </si>
  <si>
    <t>25, 31</t>
  </si>
  <si>
    <t>31, 37</t>
  </si>
  <si>
    <t>26, 31</t>
  </si>
  <si>
    <t>27, 31</t>
  </si>
  <si>
    <t>ผลขาดทุนด้านเครดิตที่คาดว่าจะเกิดขึ้น (กลับรายการ)</t>
  </si>
  <si>
    <t>กำไรจากการเปลี่ยนแปลงมูลค่ายุติธรรมในหุ้นยืม</t>
  </si>
  <si>
    <t>กำไรจากการเปลี่ยนแปลงสัญญาเช่า</t>
  </si>
  <si>
    <t>กำไรจากการแปลงค่าเงินตราต่างประเทศ</t>
  </si>
  <si>
    <t>ขาดทุนจากการจำหน่าย/ตัดจำหน่ายส่วนปรับปรุงสำนักงานเช่าและอุปกรณ์</t>
  </si>
  <si>
    <t>ดอกเบี้ยจ่ายจากเงินฝากในนามบริษัทเพื่อลูกค้า</t>
  </si>
  <si>
    <t>ภาษีจ่าย</t>
  </si>
  <si>
    <t>เงินสดสุทธิใช้ไปในกิจกรรมลงทุน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</si>
  <si>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</si>
  <si>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</si>
  <si>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ทุนเรือนหุ้น</t>
  </si>
  <si>
    <t>(หุ้นสามัญจำนวน 100,200,000 หุ้น มูลค่า 5 บาทต่อหุ้น)</t>
  </si>
  <si>
    <t>(หุ้นสามัญจำนวน 100,001,877 หุ้น มูลค่า 5 บาทต่อหุ้น)</t>
  </si>
  <si>
    <t>สำหรับงวดหกเดือนสิ้นสุดวันที่ 30 มิถุนายน 2565</t>
  </si>
  <si>
    <t>ยอดคงเหลือ ณ วันที่ 1 มกราคม 2565</t>
  </si>
  <si>
    <t>ยอดคงเหลือ ณ วันที่ 30 มิถุนายน 2565</t>
  </si>
  <si>
    <t>7, 8</t>
  </si>
  <si>
    <t>9, 31</t>
  </si>
  <si>
    <t>13, 31</t>
  </si>
  <si>
    <t>ผลขาดทุนด้านเครดิตที่คาดว่าจะเกิดขึ้น</t>
  </si>
  <si>
    <t>(กำไร) ขาดทุนจากการเปลี่ยนแปลงมูลค่ายุติธรรมในเงินลงทุน</t>
  </si>
  <si>
    <t>ผลประโยชน์พนักงานจ่าย</t>
  </si>
  <si>
    <t>เงินสดและรายการเทียบเท่าเงินสดลดลงสุทธิ</t>
  </si>
  <si>
    <t>เงินสดสุทธิได้มาจาก (ใช้ไปใน) กิจกรรมดำเนินงาน</t>
  </si>
  <si>
    <t>เงินสดได้มาจาก (ใช้ไปใน) กิจกรรมการดำเนินงาน</t>
  </si>
  <si>
    <t>กำไรขาดทุนเบ็ดเสร็จอื่น</t>
  </si>
  <si>
    <t>กำไรขาดทุนเบ็ดเสร็จรวมสำหรับงวด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</si>
</sst>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3" formatCode="_(* #,##0.00_);_(* \(#,##0.00\);_(* &quot;-&quot;??_);_(@_)"/>
    <numFmt numFmtId="164" formatCode="#,##0;\(#,##0\)"/>
    <numFmt numFmtId="165" formatCode="#,##0.00\ ;\(#,##0.00\)"/>
    <numFmt numFmtId="166" formatCode="#,##0\ ;\(#,##0\)"/>
    <numFmt numFmtId="167" formatCode="0.0"/>
    <numFmt numFmtId="168" formatCode="_-* #,##0_-;\-* #,##0_-;_-* &quot;-&quot;??_-;_-@_-"/>
    <numFmt numFmtId="169" formatCode="_(* #,##0_);_(* \(#,##0\);_(* &quot;-&quot;??_);_(@_)"/>
    <numFmt numFmtId="170" formatCode="_(* #,##0.00_);_(* \(#,##0.00\);_(* &quot;-&quot;?_);_(@_)"/>
    <numFmt numFmtId="171" formatCode="#,##0.00\ ;\ \(#,##0.00\)"/>
    <numFmt numFmtId="172" formatCode="#,##0.0;[Red]\(#,##0.00\)"/>
    <numFmt numFmtId="173" formatCode="_(* #,##0_);_(* \(#,##0\);_(* &quot;-&quot;?_);_(@_)"/>
  </numFmts>
  <fonts count="22" x14ac:knownFonts="1">
    <font>
      <sz val="15"/>
      <name val="Angsana New"/>
      <family val="1"/>
    </font>
    <font>
      <sz val="14"/>
      <name val="Cordia New"/>
      <family val="2"/>
    </font>
    <font>
      <b/>
      <sz val="15"/>
      <name val="Angsana New"/>
      <family val="1"/>
    </font>
    <font>
      <sz val="15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name val="AngsanaUPC"/>
      <family val="1"/>
      <charset val="222"/>
    </font>
    <font>
      <sz val="16"/>
      <name val="FreesiaUPC"/>
      <family val="2"/>
      <charset val="222"/>
    </font>
    <font>
      <sz val="15"/>
      <color indexed="10"/>
      <name val="Angsana New"/>
      <family val="1"/>
    </font>
    <font>
      <sz val="14"/>
      <name val="Cordia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ngsana New"/>
      <family val="1"/>
    </font>
    <font>
      <sz val="15"/>
      <name val="Angsana New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4"/>
      <name val="Angsana New"/>
      <family val="1"/>
    </font>
    <font>
      <sz val="14"/>
      <name val="Angsana New"/>
      <family val="1"/>
    </font>
    <font>
      <sz val="15"/>
      <name val="Cordia New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8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0"/>
    <xf numFmtId="164" fontId="3" fillId="0" borderId="0"/>
    <xf numFmtId="0" fontId="18" fillId="0" borderId="0"/>
  </cellStyleXfs>
  <cellXfs count="448">
    <xf numFmtId="0" fontId="0" fillId="0" borderId="0" xfId="0"/>
    <xf numFmtId="0" fontId="3" fillId="0" borderId="0" xfId="0" applyFont="1"/>
    <xf numFmtId="165" fontId="2" fillId="0" borderId="0" xfId="6" applyNumberFormat="1" applyFont="1" applyFill="1" applyAlignment="1">
      <alignment horizontal="left"/>
    </xf>
    <xf numFmtId="165" fontId="3" fillId="0" borderId="0" xfId="6" applyNumberFormat="1" applyFont="1" applyFill="1" applyAlignment="1">
      <alignment horizontal="center"/>
    </xf>
    <xf numFmtId="164" fontId="3" fillId="0" borderId="0" xfId="6" applyFont="1" applyFill="1" applyAlignment="1">
      <alignment horizontal="left"/>
    </xf>
    <xf numFmtId="164" fontId="3" fillId="0" borderId="0" xfId="6" applyFont="1" applyFill="1" applyAlignment="1">
      <alignment horizontal="center"/>
    </xf>
    <xf numFmtId="164" fontId="3" fillId="0" borderId="0" xfId="6" applyFont="1" applyFill="1" applyAlignment="1"/>
    <xf numFmtId="164" fontId="3" fillId="0" borderId="0" xfId="6" quotePrefix="1" applyFont="1" applyFill="1" applyAlignment="1">
      <alignment horizontal="left"/>
    </xf>
    <xf numFmtId="165" fontId="3" fillId="0" borderId="0" xfId="6" applyNumberFormat="1" applyFont="1" applyFill="1"/>
    <xf numFmtId="164" fontId="3" fillId="0" borderId="0" xfId="6" applyFont="1" applyFill="1"/>
    <xf numFmtId="49" fontId="3" fillId="0" borderId="0" xfId="6" applyNumberFormat="1" applyFont="1" applyFill="1"/>
    <xf numFmtId="49" fontId="3" fillId="0" borderId="0" xfId="6" quotePrefix="1" applyNumberFormat="1" applyFont="1" applyFill="1" applyAlignment="1">
      <alignment horizontal="left"/>
    </xf>
    <xf numFmtId="49" fontId="3" fillId="0" borderId="0" xfId="6" applyNumberFormat="1" applyFont="1" applyFill="1" applyAlignment="1">
      <alignment horizontal="left"/>
    </xf>
    <xf numFmtId="165" fontId="3" fillId="0" borderId="0" xfId="6" applyNumberFormat="1" applyFont="1" applyFill="1" applyBorder="1"/>
    <xf numFmtId="49" fontId="3" fillId="0" borderId="0" xfId="6" applyNumberFormat="1" applyFont="1" applyFill="1" applyAlignment="1"/>
    <xf numFmtId="165" fontId="3" fillId="0" borderId="0" xfId="6" applyNumberFormat="1" applyFont="1" applyFill="1" applyAlignment="1">
      <alignment horizontal="centerContinuous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66" fontId="3" fillId="0" borderId="0" xfId="6" quotePrefix="1" applyNumberFormat="1" applyFont="1" applyFill="1" applyAlignment="1">
      <alignment horizontal="center"/>
    </xf>
    <xf numFmtId="165" fontId="4" fillId="0" borderId="0" xfId="6" applyNumberFormat="1" applyFont="1" applyFill="1" applyAlignment="1">
      <alignment horizontal="left"/>
    </xf>
    <xf numFmtId="165" fontId="4" fillId="0" borderId="0" xfId="6" quotePrefix="1" applyNumberFormat="1" applyFont="1" applyFill="1" applyAlignment="1">
      <alignment horizontal="left"/>
    </xf>
    <xf numFmtId="164" fontId="2" fillId="0" borderId="0" xfId="6" applyFont="1" applyFill="1" applyAlignment="1">
      <alignment horizontal="left"/>
    </xf>
    <xf numFmtId="164" fontId="3" fillId="0" borderId="0" xfId="6"/>
    <xf numFmtId="49" fontId="2" fillId="0" borderId="0" xfId="6" applyNumberFormat="1" applyFont="1" applyFill="1"/>
    <xf numFmtId="49" fontId="2" fillId="0" borderId="0" xfId="6" applyNumberFormat="1" applyFont="1" applyFill="1" applyAlignment="1"/>
    <xf numFmtId="164" fontId="2" fillId="0" borderId="0" xfId="6" applyFont="1" applyFill="1"/>
    <xf numFmtId="0" fontId="3" fillId="0" borderId="0" xfId="6" applyNumberFormat="1" applyFont="1" applyFill="1" applyBorder="1" applyAlignment="1">
      <alignment horizontal="center"/>
    </xf>
    <xf numFmtId="0" fontId="3" fillId="0" borderId="0" xfId="6" applyNumberFormat="1" applyFont="1" applyFill="1" applyAlignment="1">
      <alignment horizontal="center"/>
    </xf>
    <xf numFmtId="0" fontId="4" fillId="0" borderId="0" xfId="6" applyNumberFormat="1" applyFont="1" applyFill="1" applyAlignment="1">
      <alignment horizontal="left"/>
    </xf>
    <xf numFmtId="0" fontId="3" fillId="0" borderId="0" xfId="6" quotePrefix="1" applyNumberFormat="1" applyFont="1" applyFill="1" applyAlignment="1">
      <alignment horizontal="center"/>
    </xf>
    <xf numFmtId="164" fontId="2" fillId="0" borderId="0" xfId="6" quotePrefix="1" applyFont="1" applyFill="1" applyAlignment="1">
      <alignment horizontal="left"/>
    </xf>
    <xf numFmtId="166" fontId="3" fillId="0" borderId="0" xfId="0" applyNumberFormat="1" applyFont="1" applyFill="1"/>
    <xf numFmtId="166" fontId="3" fillId="0" borderId="0" xfId="0" applyNumberFormat="1" applyFont="1" applyFill="1" applyBorder="1"/>
    <xf numFmtId="166" fontId="3" fillId="0" borderId="0" xfId="6" applyNumberFormat="1" applyFont="1" applyFill="1" applyBorder="1"/>
    <xf numFmtId="166" fontId="3" fillId="0" borderId="0" xfId="6" applyNumberFormat="1" applyFont="1" applyFill="1"/>
    <xf numFmtId="166" fontId="3" fillId="0" borderId="0" xfId="6" quotePrefix="1" applyNumberFormat="1" applyFont="1" applyFill="1" applyAlignment="1"/>
    <xf numFmtId="166" fontId="3" fillId="0" borderId="0" xfId="0" quotePrefix="1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6" fillId="0" borderId="0" xfId="6" applyNumberFormat="1" applyFont="1" applyFill="1" applyBorder="1" applyAlignment="1">
      <alignment horizontal="center"/>
    </xf>
    <xf numFmtId="166" fontId="2" fillId="0" borderId="0" xfId="6" applyNumberFormat="1" applyFont="1" applyFill="1"/>
    <xf numFmtId="166" fontId="2" fillId="0" borderId="0" xfId="6" applyNumberFormat="1" applyFont="1" applyFill="1" applyBorder="1"/>
    <xf numFmtId="49" fontId="7" fillId="0" borderId="0" xfId="6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Continuous"/>
    </xf>
    <xf numFmtId="166" fontId="2" fillId="0" borderId="0" xfId="0" applyNumberFormat="1" applyFont="1" applyFill="1" applyBorder="1"/>
    <xf numFmtId="164" fontId="7" fillId="0" borderId="0" xfId="6" applyFont="1" applyFill="1" applyAlignment="1">
      <alignment horizontal="left"/>
    </xf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Continuous"/>
    </xf>
    <xf numFmtId="165" fontId="3" fillId="0" borderId="0" xfId="6" applyNumberFormat="1" applyFont="1" applyFill="1" applyBorder="1" applyAlignment="1">
      <alignment horizontal="centerContinuous"/>
    </xf>
    <xf numFmtId="164" fontId="3" fillId="0" borderId="0" xfId="6" applyFont="1" applyFill="1" applyBorder="1" applyAlignment="1">
      <alignment horizontal="left"/>
    </xf>
    <xf numFmtId="166" fontId="3" fillId="0" borderId="0" xfId="6" applyNumberFormat="1" applyFont="1" applyFill="1" applyAlignment="1">
      <alignment horizontal="right"/>
    </xf>
    <xf numFmtId="164" fontId="6" fillId="0" borderId="0" xfId="6" applyFont="1" applyFill="1" applyAlignment="1">
      <alignment horizontal="left"/>
    </xf>
    <xf numFmtId="166" fontId="2" fillId="0" borderId="1" xfId="6" applyNumberFormat="1" applyFont="1" applyFill="1" applyBorder="1"/>
    <xf numFmtId="165" fontId="4" fillId="0" borderId="0" xfId="6" applyNumberFormat="1" applyFont="1" applyFill="1" applyAlignment="1">
      <alignment horizontal="left" wrapText="1"/>
    </xf>
    <xf numFmtId="165" fontId="3" fillId="0" borderId="0" xfId="6" applyNumberFormat="1" applyFont="1" applyFill="1" applyAlignment="1">
      <alignment horizontal="left" indent="2"/>
    </xf>
    <xf numFmtId="0" fontId="3" fillId="0" borderId="0" xfId="6" applyNumberFormat="1" applyFont="1" applyFill="1" applyBorder="1" applyAlignment="1">
      <alignment horizontal="left" indent="2"/>
    </xf>
    <xf numFmtId="165" fontId="3" fillId="0" borderId="0" xfId="6" applyNumberFormat="1" applyFont="1" applyFill="1" applyBorder="1" applyAlignment="1">
      <alignment horizontal="left" indent="2"/>
    </xf>
    <xf numFmtId="164" fontId="3" fillId="0" borderId="0" xfId="6" applyFont="1" applyFill="1" applyAlignment="1">
      <alignment horizontal="left" indent="2"/>
    </xf>
    <xf numFmtId="164" fontId="2" fillId="0" borderId="0" xfId="6" applyFont="1" applyFill="1" applyAlignment="1">
      <alignment horizontal="left" indent="2"/>
    </xf>
    <xf numFmtId="37" fontId="3" fillId="0" borderId="0" xfId="6" applyNumberFormat="1" applyFont="1" applyFill="1" applyBorder="1" applyAlignment="1"/>
    <xf numFmtId="37" fontId="3" fillId="0" borderId="0" xfId="6" applyNumberFormat="1" applyFont="1" applyFill="1" applyAlignment="1"/>
    <xf numFmtId="37" fontId="2" fillId="0" borderId="0" xfId="6" applyNumberFormat="1" applyFont="1" applyFill="1" applyBorder="1" applyAlignment="1"/>
    <xf numFmtId="37" fontId="2" fillId="0" borderId="0" xfId="6" applyNumberFormat="1" applyFont="1" applyFill="1" applyAlignment="1"/>
    <xf numFmtId="2" fontId="6" fillId="0" borderId="0" xfId="6" applyNumberFormat="1" applyFont="1" applyFill="1" applyAlignment="1">
      <alignment horizontal="center"/>
    </xf>
    <xf numFmtId="0" fontId="3" fillId="0" borderId="0" xfId="0" applyFont="1" applyBorder="1"/>
    <xf numFmtId="168" fontId="3" fillId="0" borderId="0" xfId="2" applyNumberFormat="1" applyFont="1" applyFill="1"/>
    <xf numFmtId="168" fontId="3" fillId="0" borderId="0" xfId="2" applyNumberFormat="1" applyFont="1" applyFill="1" applyBorder="1"/>
    <xf numFmtId="168" fontId="2" fillId="0" borderId="2" xfId="2" applyNumberFormat="1" applyFont="1" applyFill="1" applyBorder="1"/>
    <xf numFmtId="168" fontId="2" fillId="0" borderId="0" xfId="2" applyNumberFormat="1" applyFont="1" applyFill="1"/>
    <xf numFmtId="168" fontId="2" fillId="0" borderId="0" xfId="2" applyNumberFormat="1" applyFont="1" applyFill="1" applyBorder="1"/>
    <xf numFmtId="168" fontId="3" fillId="0" borderId="0" xfId="2" applyNumberFormat="1" applyFont="1" applyFill="1" applyAlignment="1">
      <alignment horizontal="centerContinuous" wrapText="1"/>
    </xf>
    <xf numFmtId="168" fontId="2" fillId="0" borderId="3" xfId="2" applyNumberFormat="1" applyFont="1" applyFill="1" applyBorder="1"/>
    <xf numFmtId="169" fontId="3" fillId="0" borderId="0" xfId="6" applyNumberFormat="1" applyFont="1" applyFill="1" applyBorder="1" applyAlignment="1"/>
    <xf numFmtId="169" fontId="2" fillId="0" borderId="0" xfId="6" applyNumberFormat="1" applyFont="1" applyFill="1" applyBorder="1" applyAlignment="1"/>
    <xf numFmtId="169" fontId="3" fillId="0" borderId="4" xfId="6" applyNumberFormat="1" applyFont="1" applyFill="1" applyBorder="1" applyAlignment="1"/>
    <xf numFmtId="169" fontId="2" fillId="0" borderId="2" xfId="6" applyNumberFormat="1" applyFont="1" applyFill="1" applyBorder="1" applyAlignment="1"/>
    <xf numFmtId="169" fontId="2" fillId="0" borderId="1" xfId="6" applyNumberFormat="1" applyFont="1" applyFill="1" applyBorder="1" applyAlignment="1"/>
    <xf numFmtId="43" fontId="3" fillId="0" borderId="0" xfId="2" applyFont="1" applyFill="1" applyBorder="1"/>
    <xf numFmtId="43" fontId="2" fillId="0" borderId="0" xfId="2" applyFont="1" applyFill="1" applyBorder="1"/>
    <xf numFmtId="166" fontId="3" fillId="0" borderId="0" xfId="2" applyNumberFormat="1" applyFont="1" applyFill="1"/>
    <xf numFmtId="0" fontId="8" fillId="0" borderId="0" xfId="0" applyFont="1" applyFill="1"/>
    <xf numFmtId="166" fontId="2" fillId="0" borderId="0" xfId="0" applyNumberFormat="1" applyFont="1" applyFill="1"/>
    <xf numFmtId="166" fontId="3" fillId="0" borderId="0" xfId="6" applyNumberFormat="1" applyFont="1" applyFill="1" applyAlignment="1"/>
    <xf numFmtId="168" fontId="3" fillId="0" borderId="4" xfId="2" applyNumberFormat="1" applyFont="1" applyFill="1" applyBorder="1"/>
    <xf numFmtId="14" fontId="2" fillId="0" borderId="0" xfId="0" applyNumberFormat="1" applyFont="1" applyFill="1" applyAlignment="1">
      <alignment horizontal="center"/>
    </xf>
    <xf numFmtId="165" fontId="3" fillId="0" borderId="0" xfId="6" applyNumberFormat="1" applyFont="1" applyFill="1" applyAlignment="1">
      <alignment horizontal="right"/>
    </xf>
    <xf numFmtId="164" fontId="3" fillId="0" borderId="0" xfId="6" applyFont="1" applyFill="1" applyAlignment="1">
      <alignment horizontal="right"/>
    </xf>
    <xf numFmtId="43" fontId="3" fillId="0" borderId="0" xfId="2" applyFont="1" applyFill="1" applyAlignment="1">
      <alignment horizontal="right"/>
    </xf>
    <xf numFmtId="43" fontId="3" fillId="0" borderId="0" xfId="2" applyFont="1" applyFill="1"/>
    <xf numFmtId="164" fontId="3" fillId="0" borderId="0" xfId="6" quotePrefix="1" applyFont="1" applyFill="1" applyAlignment="1">
      <alignment horizontal="right"/>
    </xf>
    <xf numFmtId="43" fontId="3" fillId="0" borderId="0" xfId="2" quotePrefix="1" applyFont="1" applyFill="1" applyAlignment="1">
      <alignment horizontal="right"/>
    </xf>
    <xf numFmtId="0" fontId="10" fillId="0" borderId="0" xfId="0" applyFont="1" applyFill="1"/>
    <xf numFmtId="43" fontId="3" fillId="2" borderId="0" xfId="2" applyFont="1" applyFill="1"/>
    <xf numFmtId="0" fontId="10" fillId="0" borderId="0" xfId="0" applyFont="1" applyAlignment="1">
      <alignment horizontal="left"/>
    </xf>
    <xf numFmtId="43" fontId="3" fillId="0" borderId="0" xfId="0" applyNumberFormat="1" applyFont="1" applyFill="1"/>
    <xf numFmtId="43" fontId="3" fillId="3" borderId="4" xfId="2" applyFont="1" applyFill="1" applyBorder="1" applyAlignment="1">
      <alignment horizontal="right"/>
    </xf>
    <xf numFmtId="43" fontId="3" fillId="3" borderId="0" xfId="2" applyFont="1" applyFill="1"/>
    <xf numFmtId="43" fontId="3" fillId="0" borderId="0" xfId="0" applyNumberFormat="1" applyFont="1"/>
    <xf numFmtId="43" fontId="2" fillId="0" borderId="2" xfId="2" applyFont="1" applyFill="1" applyBorder="1" applyAlignment="1">
      <alignment horizontal="right"/>
    </xf>
    <xf numFmtId="170" fontId="3" fillId="0" borderId="0" xfId="0" applyNumberFormat="1" applyFont="1" applyFill="1"/>
    <xf numFmtId="43" fontId="2" fillId="0" borderId="0" xfId="2" applyFont="1" applyFill="1" applyBorder="1" applyAlignment="1">
      <alignment horizontal="right"/>
    </xf>
    <xf numFmtId="170" fontId="3" fillId="0" borderId="0" xfId="0" applyNumberFormat="1" applyFont="1"/>
    <xf numFmtId="165" fontId="2" fillId="0" borderId="0" xfId="6" applyNumberFormat="1" applyFont="1" applyFill="1" applyAlignment="1">
      <alignment horizontal="right"/>
    </xf>
    <xf numFmtId="43" fontId="2" fillId="0" borderId="0" xfId="2" applyFont="1" applyFill="1" applyAlignment="1">
      <alignment horizontal="right"/>
    </xf>
    <xf numFmtId="14" fontId="2" fillId="0" borderId="0" xfId="0" applyNumberFormat="1" applyFont="1" applyAlignment="1">
      <alignment horizontal="center"/>
    </xf>
    <xf numFmtId="0" fontId="11" fillId="2" borderId="0" xfId="0" applyFont="1" applyFill="1" applyAlignment="1">
      <alignment horizontal="center"/>
    </xf>
    <xf numFmtId="165" fontId="4" fillId="0" borderId="0" xfId="6" applyNumberFormat="1" applyFont="1" applyFill="1" applyAlignment="1">
      <alignment horizontal="right" wrapText="1"/>
    </xf>
    <xf numFmtId="43" fontId="5" fillId="0" borderId="0" xfId="2" applyFont="1" applyFill="1" applyAlignment="1">
      <alignment horizontal="right" wrapText="1"/>
    </xf>
    <xf numFmtId="43" fontId="3" fillId="4" borderId="0" xfId="2" applyFont="1" applyFill="1"/>
    <xf numFmtId="171" fontId="3" fillId="0" borderId="0" xfId="2" applyNumberFormat="1" applyFont="1"/>
    <xf numFmtId="171" fontId="3" fillId="2" borderId="0" xfId="2" applyNumberFormat="1" applyFont="1" applyFill="1"/>
    <xf numFmtId="43" fontId="3" fillId="4" borderId="0" xfId="0" applyNumberFormat="1" applyFont="1" applyFill="1"/>
    <xf numFmtId="49" fontId="3" fillId="0" borderId="0" xfId="6" applyNumberFormat="1" applyFont="1" applyFill="1" applyAlignment="1">
      <alignment horizontal="right"/>
    </xf>
    <xf numFmtId="43" fontId="3" fillId="5" borderId="0" xfId="0" applyNumberFormat="1" applyFont="1" applyFill="1"/>
    <xf numFmtId="43" fontId="3" fillId="5" borderId="0" xfId="2" applyFont="1" applyFill="1"/>
    <xf numFmtId="171" fontId="3" fillId="0" borderId="0" xfId="0" applyNumberFormat="1" applyFont="1"/>
    <xf numFmtId="0" fontId="10" fillId="0" borderId="0" xfId="0" applyFont="1" applyFill="1" applyAlignment="1">
      <alignment horizontal="left"/>
    </xf>
    <xf numFmtId="0" fontId="10" fillId="2" borderId="0" xfId="0" applyFont="1" applyFill="1"/>
    <xf numFmtId="171" fontId="3" fillId="0" borderId="3" xfId="2" applyNumberFormat="1" applyFont="1" applyBorder="1"/>
    <xf numFmtId="171" fontId="3" fillId="2" borderId="3" xfId="2" applyNumberFormat="1" applyFont="1" applyFill="1" applyBorder="1"/>
    <xf numFmtId="172" fontId="3" fillId="0" borderId="0" xfId="2" applyNumberFormat="1" applyFont="1" applyFill="1"/>
    <xf numFmtId="49" fontId="6" fillId="0" borderId="0" xfId="6" applyNumberFormat="1" applyFont="1" applyFill="1" applyAlignment="1">
      <alignment horizontal="left"/>
    </xf>
    <xf numFmtId="43" fontId="3" fillId="0" borderId="2" xfId="2" applyFont="1" applyFill="1" applyBorder="1" applyAlignment="1">
      <alignment horizontal="right"/>
    </xf>
    <xf numFmtId="43" fontId="3" fillId="0" borderId="0" xfId="2" applyFont="1" applyFill="1" applyBorder="1" applyAlignment="1">
      <alignment horizontal="right"/>
    </xf>
    <xf numFmtId="43" fontId="3" fillId="0" borderId="4" xfId="2" applyFont="1" applyFill="1" applyBorder="1" applyAlignment="1">
      <alignment horizontal="right"/>
    </xf>
    <xf numFmtId="43" fontId="2" fillId="0" borderId="3" xfId="2" applyFont="1" applyFill="1" applyBorder="1" applyAlignment="1">
      <alignment horizontal="right"/>
    </xf>
    <xf numFmtId="43" fontId="3" fillId="4" borderId="0" xfId="6" applyNumberFormat="1" applyFont="1" applyFill="1" applyAlignment="1">
      <alignment horizontal="right"/>
    </xf>
    <xf numFmtId="166" fontId="2" fillId="0" borderId="0" xfId="6" applyNumberFormat="1" applyFont="1" applyFill="1" applyBorder="1" applyAlignment="1">
      <alignment horizontal="right"/>
    </xf>
    <xf numFmtId="49" fontId="3" fillId="0" borderId="4" xfId="6" applyNumberFormat="1" applyFont="1" applyFill="1" applyBorder="1" applyAlignment="1"/>
    <xf numFmtId="49" fontId="3" fillId="0" borderId="5" xfId="6" applyNumberFormat="1" applyFont="1" applyFill="1" applyBorder="1" applyAlignment="1">
      <alignment horizontal="left"/>
    </xf>
    <xf numFmtId="0" fontId="3" fillId="4" borderId="6" xfId="0" applyFont="1" applyFill="1" applyBorder="1"/>
    <xf numFmtId="0" fontId="3" fillId="4" borderId="6" xfId="0" applyFont="1" applyFill="1" applyBorder="1" applyAlignment="1">
      <alignment horizontal="right"/>
    </xf>
    <xf numFmtId="43" fontId="3" fillId="4" borderId="7" xfId="0" applyNumberFormat="1" applyFont="1" applyFill="1" applyBorder="1"/>
    <xf numFmtId="0" fontId="3" fillId="0" borderId="8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9" xfId="0" applyNumberFormat="1" applyFont="1" applyFill="1" applyBorder="1"/>
    <xf numFmtId="0" fontId="3" fillId="0" borderId="10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43" fontId="3" fillId="0" borderId="11" xfId="0" applyNumberFormat="1" applyFont="1" applyFill="1" applyBorder="1"/>
    <xf numFmtId="0" fontId="8" fillId="4" borderId="10" xfId="0" applyFont="1" applyFill="1" applyBorder="1"/>
    <xf numFmtId="0" fontId="3" fillId="4" borderId="4" xfId="0" applyFont="1" applyFill="1" applyBorder="1"/>
    <xf numFmtId="0" fontId="3" fillId="4" borderId="4" xfId="0" applyFont="1" applyFill="1" applyBorder="1" applyAlignment="1">
      <alignment horizontal="right"/>
    </xf>
    <xf numFmtId="43" fontId="3" fillId="4" borderId="11" xfId="2" applyFont="1" applyFill="1" applyBorder="1" applyAlignment="1">
      <alignment horizontal="right"/>
    </xf>
    <xf numFmtId="43" fontId="3" fillId="0" borderId="0" xfId="2" applyFo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3" fontId="3" fillId="0" borderId="0" xfId="2" applyFont="1" applyAlignment="1">
      <alignment horizontal="right"/>
    </xf>
    <xf numFmtId="43" fontId="3" fillId="0" borderId="0" xfId="2" applyFont="1" applyBorder="1" applyAlignment="1">
      <alignment horizontal="right"/>
    </xf>
    <xf numFmtId="43" fontId="3" fillId="0" borderId="4" xfId="2" applyFont="1" applyBorder="1" applyAlignment="1">
      <alignment horizontal="right"/>
    </xf>
    <xf numFmtId="171" fontId="3" fillId="0" borderId="4" xfId="2" applyNumberFormat="1" applyFont="1" applyFill="1" applyBorder="1" applyAlignment="1">
      <alignment horizontal="right"/>
    </xf>
    <xf numFmtId="43" fontId="3" fillId="0" borderId="3" xfId="2" applyFont="1" applyFill="1" applyBorder="1"/>
    <xf numFmtId="168" fontId="2" fillId="0" borderId="4" xfId="2" applyNumberFormat="1" applyFont="1" applyFill="1" applyBorder="1"/>
    <xf numFmtId="165" fontId="4" fillId="0" borderId="0" xfId="6" quotePrefix="1" applyNumberFormat="1" applyFont="1" applyFill="1" applyAlignment="1"/>
    <xf numFmtId="0" fontId="3" fillId="0" borderId="0" xfId="0" applyFont="1" applyFill="1" applyAlignment="1"/>
    <xf numFmtId="165" fontId="3" fillId="0" borderId="0" xfId="6" applyNumberFormat="1" applyFont="1" applyFill="1" applyAlignment="1"/>
    <xf numFmtId="164" fontId="3" fillId="0" borderId="0" xfId="6" quotePrefix="1" applyFont="1" applyFill="1" applyAlignment="1"/>
    <xf numFmtId="164" fontId="2" fillId="0" borderId="0" xfId="6" applyFont="1" applyFill="1" applyAlignment="1"/>
    <xf numFmtId="164" fontId="4" fillId="0" borderId="0" xfId="6" applyFont="1" applyFill="1" applyAlignment="1">
      <alignment horizontal="left"/>
    </xf>
    <xf numFmtId="164" fontId="4" fillId="0" borderId="0" xfId="6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2"/>
    </xf>
    <xf numFmtId="0" fontId="3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/>
    <xf numFmtId="164" fontId="0" fillId="0" borderId="0" xfId="6" applyFont="1" applyFill="1" applyAlignment="1"/>
    <xf numFmtId="164" fontId="0" fillId="0" borderId="0" xfId="6" applyFont="1" applyFill="1" applyAlignment="1">
      <alignment horizontal="left"/>
    </xf>
    <xf numFmtId="166" fontId="3" fillId="0" borderId="6" xfId="6" applyNumberFormat="1" applyFont="1" applyFill="1" applyBorder="1"/>
    <xf numFmtId="166" fontId="3" fillId="0" borderId="4" xfId="2" applyNumberFormat="1" applyFont="1" applyFill="1" applyBorder="1"/>
    <xf numFmtId="164" fontId="0" fillId="0" borderId="0" xfId="6" applyFont="1" applyFill="1"/>
    <xf numFmtId="37" fontId="3" fillId="0" borderId="4" xfId="6" applyNumberFormat="1" applyFont="1" applyFill="1" applyBorder="1" applyAlignment="1"/>
    <xf numFmtId="3" fontId="2" fillId="0" borderId="4" xfId="2" applyNumberFormat="1" applyFont="1" applyFill="1" applyBorder="1"/>
    <xf numFmtId="0" fontId="6" fillId="0" borderId="0" xfId="6" applyNumberFormat="1" applyFont="1" applyFill="1" applyAlignment="1">
      <alignment horizontal="center"/>
    </xf>
    <xf numFmtId="43" fontId="3" fillId="0" borderId="0" xfId="2" applyFont="1" applyFill="1" applyAlignment="1">
      <alignment horizontal="center"/>
    </xf>
    <xf numFmtId="166" fontId="3" fillId="0" borderId="0" xfId="6" applyNumberFormat="1" applyFont="1" applyFill="1" applyBorder="1" applyAlignment="1"/>
    <xf numFmtId="166" fontId="3" fillId="0" borderId="0" xfId="2" applyNumberFormat="1" applyFont="1" applyFill="1" applyBorder="1"/>
    <xf numFmtId="168" fontId="3" fillId="0" borderId="0" xfId="2" applyNumberFormat="1" applyFont="1" applyFill="1" applyAlignment="1">
      <alignment horizontal="center"/>
    </xf>
    <xf numFmtId="169" fontId="16" fillId="0" borderId="0" xfId="0" applyNumberFormat="1" applyFont="1" applyAlignment="1"/>
    <xf numFmtId="169" fontId="3" fillId="0" borderId="0" xfId="0" applyNumberFormat="1" applyFont="1" applyFill="1"/>
    <xf numFmtId="37" fontId="3" fillId="0" borderId="0" xfId="0" applyNumberFormat="1" applyFont="1" applyFill="1"/>
    <xf numFmtId="49" fontId="0" fillId="0" borderId="0" xfId="6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3" fontId="2" fillId="0" borderId="0" xfId="0" applyNumberFormat="1" applyFont="1" applyFill="1"/>
    <xf numFmtId="0" fontId="3" fillId="0" borderId="0" xfId="7" applyFont="1" applyFill="1"/>
    <xf numFmtId="168" fontId="3" fillId="0" borderId="0" xfId="2" applyNumberFormat="1" applyFont="1" applyFill="1" applyAlignment="1"/>
    <xf numFmtId="43" fontId="15" fillId="0" borderId="0" xfId="2" applyFont="1" applyFill="1" applyBorder="1" applyAlignment="1">
      <alignment horizontal="center"/>
    </xf>
    <xf numFmtId="169" fontId="16" fillId="0" borderId="0" xfId="0" applyNumberFormat="1" applyFont="1" applyFill="1" applyAlignment="1"/>
    <xf numFmtId="166" fontId="3" fillId="6" borderId="0" xfId="6" applyNumberFormat="1" applyFont="1" applyFill="1" applyAlignment="1"/>
    <xf numFmtId="166" fontId="3" fillId="7" borderId="0" xfId="6" applyNumberFormat="1" applyFont="1" applyFill="1" applyAlignment="1"/>
    <xf numFmtId="166" fontId="3" fillId="7" borderId="0" xfId="6" applyNumberFormat="1" applyFont="1" applyFill="1" applyAlignment="1">
      <alignment horizontal="right"/>
    </xf>
    <xf numFmtId="173" fontId="3" fillId="6" borderId="0" xfId="2" applyNumberFormat="1" applyFont="1" applyFill="1" applyAlignment="1">
      <alignment horizontal="center"/>
    </xf>
    <xf numFmtId="168" fontId="3" fillId="6" borderId="0" xfId="2" applyNumberFormat="1" applyFont="1" applyFill="1"/>
    <xf numFmtId="166" fontId="3" fillId="0" borderId="0" xfId="6" applyNumberFormat="1" applyFont="1" applyFill="1" applyBorder="1" applyAlignment="1">
      <alignment horizontal="right"/>
    </xf>
    <xf numFmtId="173" fontId="3" fillId="6" borderId="0" xfId="2" applyNumberFormat="1" applyFont="1" applyFill="1" applyBorder="1" applyAlignment="1">
      <alignment horizontal="center"/>
    </xf>
    <xf numFmtId="166" fontId="3" fillId="0" borderId="0" xfId="6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9" fontId="3" fillId="0" borderId="0" xfId="6" applyNumberFormat="1" applyFont="1" applyFill="1" applyAlignment="1"/>
    <xf numFmtId="165" fontId="4" fillId="0" borderId="0" xfId="6" applyNumberFormat="1" applyFont="1" applyFill="1" applyAlignment="1"/>
    <xf numFmtId="169" fontId="3" fillId="0" borderId="0" xfId="6" quotePrefix="1" applyNumberFormat="1" applyFont="1" applyFill="1" applyAlignment="1">
      <alignment horizontal="center"/>
    </xf>
    <xf numFmtId="169" fontId="3" fillId="0" borderId="0" xfId="6" quotePrefix="1" applyNumberFormat="1" applyFont="1" applyFill="1" applyAlignment="1"/>
    <xf numFmtId="169" fontId="3" fillId="0" borderId="0" xfId="6" applyNumberFormat="1" applyFont="1" applyFill="1" applyBorder="1"/>
    <xf numFmtId="169" fontId="2" fillId="0" borderId="0" xfId="6" applyNumberFormat="1" applyFont="1" applyFill="1" applyBorder="1"/>
    <xf numFmtId="169" fontId="2" fillId="0" borderId="0" xfId="6" applyNumberFormat="1" applyFont="1" applyFill="1" applyAlignment="1"/>
    <xf numFmtId="169" fontId="2" fillId="0" borderId="0" xfId="0" applyNumberFormat="1" applyFont="1" applyFill="1" applyBorder="1"/>
    <xf numFmtId="169" fontId="3" fillId="0" borderId="0" xfId="2" applyNumberFormat="1" applyFont="1" applyFill="1" applyAlignment="1" applyProtection="1">
      <protection locked="0"/>
    </xf>
    <xf numFmtId="169" fontId="3" fillId="0" borderId="0" xfId="2" applyNumberFormat="1" applyFont="1" applyFill="1" applyAlignment="1"/>
    <xf numFmtId="169" fontId="3" fillId="0" borderId="0" xfId="2" applyNumberFormat="1" applyFont="1" applyFill="1" applyAlignment="1">
      <alignment horizontal="center"/>
    </xf>
    <xf numFmtId="169" fontId="3" fillId="0" borderId="0" xfId="2" applyNumberFormat="1" applyFont="1" applyFill="1" applyBorder="1" applyAlignment="1"/>
    <xf numFmtId="169" fontId="3" fillId="0" borderId="0" xfId="2" applyNumberFormat="1" applyFont="1" applyFill="1" applyBorder="1"/>
    <xf numFmtId="169" fontId="2" fillId="0" borderId="0" xfId="2" applyNumberFormat="1" applyFont="1" applyFill="1" applyBorder="1" applyAlignment="1"/>
    <xf numFmtId="0" fontId="0" fillId="0" borderId="0" xfId="0" applyFont="1" applyFill="1" applyAlignment="1"/>
    <xf numFmtId="0" fontId="0" fillId="0" borderId="0" xfId="0" applyFont="1"/>
    <xf numFmtId="0" fontId="0" fillId="0" borderId="0" xfId="0" applyFont="1" applyFill="1"/>
    <xf numFmtId="165" fontId="17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43" fontId="0" fillId="8" borderId="0" xfId="0" applyNumberFormat="1" applyFont="1" applyFill="1"/>
    <xf numFmtId="164" fontId="0" fillId="0" borderId="0" xfId="0" quotePrefix="1" applyNumberFormat="1" applyFont="1" applyFill="1" applyAlignment="1">
      <alignment horizontal="left"/>
    </xf>
    <xf numFmtId="164" fontId="0" fillId="0" borderId="0" xfId="0" quotePrefix="1" applyNumberFormat="1" applyFont="1" applyFill="1" applyAlignment="1">
      <alignment horizontal="right"/>
    </xf>
    <xf numFmtId="43" fontId="0" fillId="0" borderId="0" xfId="0" applyNumberFormat="1" applyFont="1" applyFill="1"/>
    <xf numFmtId="164" fontId="0" fillId="0" borderId="0" xfId="0" applyNumberFormat="1" applyFont="1" applyFill="1" applyAlignment="1"/>
    <xf numFmtId="164" fontId="0" fillId="0" borderId="0" xfId="0" applyNumberFormat="1" applyFont="1" applyFill="1"/>
    <xf numFmtId="43" fontId="0" fillId="6" borderId="0" xfId="0" applyNumberFormat="1" applyFont="1" applyFill="1"/>
    <xf numFmtId="0" fontId="17" fillId="0" borderId="0" xfId="0" applyFont="1" applyFill="1"/>
    <xf numFmtId="0" fontId="17" fillId="0" borderId="0" xfId="0" applyFont="1" applyFill="1" applyAlignment="1">
      <alignment horizontal="left"/>
    </xf>
    <xf numFmtId="43" fontId="0" fillId="9" borderId="0" xfId="0" applyNumberFormat="1" applyFont="1" applyFill="1"/>
    <xf numFmtId="164" fontId="17" fillId="0" borderId="0" xfId="0" applyNumberFormat="1" applyFont="1" applyFill="1" applyAlignment="1">
      <alignment horizontal="left"/>
    </xf>
    <xf numFmtId="170" fontId="0" fillId="0" borderId="0" xfId="0" applyNumberFormat="1" applyFont="1" applyFill="1"/>
    <xf numFmtId="165" fontId="17" fillId="0" borderId="0" xfId="0" applyNumberFormat="1" applyFont="1" applyFill="1" applyAlignment="1">
      <alignment horizontal="right"/>
    </xf>
    <xf numFmtId="43" fontId="17" fillId="0" borderId="0" xfId="0" applyNumberFormat="1" applyFont="1" applyFill="1"/>
    <xf numFmtId="1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5" fontId="17" fillId="0" borderId="0" xfId="0" applyNumberFormat="1" applyFont="1" applyFill="1" applyAlignment="1">
      <alignment horizontal="left" wrapText="1"/>
    </xf>
    <xf numFmtId="165" fontId="17" fillId="0" borderId="0" xfId="0" applyNumberFormat="1" applyFont="1" applyFill="1" applyAlignment="1">
      <alignment horizontal="right" wrapText="1"/>
    </xf>
    <xf numFmtId="171" fontId="0" fillId="0" borderId="0" xfId="0" applyNumberFormat="1" applyFont="1" applyFill="1"/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49" fontId="0" fillId="0" borderId="0" xfId="0" applyNumberFormat="1" applyFont="1" applyFill="1" applyAlignment="1">
      <alignment horizontal="right"/>
    </xf>
    <xf numFmtId="171" fontId="0" fillId="0" borderId="3" xfId="0" applyNumberFormat="1" applyFont="1" applyFill="1" applyBorder="1"/>
    <xf numFmtId="49" fontId="17" fillId="0" borderId="0" xfId="0" applyNumberFormat="1" applyFont="1" applyFill="1"/>
    <xf numFmtId="49" fontId="17" fillId="0" borderId="0" xfId="0" applyNumberFormat="1" applyFont="1" applyFill="1" applyAlignment="1">
      <alignment horizontal="left"/>
    </xf>
    <xf numFmtId="49" fontId="0" fillId="0" borderId="0" xfId="0" quotePrefix="1" applyNumberFormat="1" applyFont="1" applyFill="1" applyAlignment="1">
      <alignment horizontal="left"/>
    </xf>
    <xf numFmtId="49" fontId="17" fillId="0" borderId="0" xfId="0" applyNumberFormat="1" applyFont="1" applyFill="1" applyAlignment="1"/>
    <xf numFmtId="49" fontId="0" fillId="0" borderId="0" xfId="0" applyNumberFormat="1" applyFont="1" applyFill="1" applyAlignment="1"/>
    <xf numFmtId="43" fontId="17" fillId="0" borderId="0" xfId="2" applyFont="1" applyFill="1" applyAlignment="1">
      <alignment horizontal="right"/>
    </xf>
    <xf numFmtId="43" fontId="0" fillId="0" borderId="0" xfId="2" applyFont="1" applyFill="1" applyAlignment="1">
      <alignment horizontal="right"/>
    </xf>
    <xf numFmtId="43" fontId="0" fillId="0" borderId="0" xfId="2" applyFont="1"/>
    <xf numFmtId="43" fontId="0" fillId="0" borderId="0" xfId="2" quotePrefix="1" applyFont="1" applyFill="1" applyAlignment="1">
      <alignment horizontal="right"/>
    </xf>
    <xf numFmtId="43" fontId="0" fillId="0" borderId="4" xfId="2" applyFont="1" applyFill="1" applyBorder="1" applyAlignment="1">
      <alignment horizontal="right"/>
    </xf>
    <xf numFmtId="43" fontId="17" fillId="0" borderId="2" xfId="2" applyFont="1" applyFill="1" applyBorder="1" applyAlignment="1">
      <alignment horizontal="right"/>
    </xf>
    <xf numFmtId="43" fontId="17" fillId="0" borderId="0" xfId="2" applyFont="1" applyFill="1" applyAlignment="1">
      <alignment horizontal="right" wrapText="1"/>
    </xf>
    <xf numFmtId="43" fontId="0" fillId="0" borderId="2" xfId="2" applyFont="1" applyFill="1" applyBorder="1" applyAlignment="1">
      <alignment horizontal="right"/>
    </xf>
    <xf numFmtId="43" fontId="0" fillId="0" borderId="0" xfId="2" applyFont="1" applyFill="1" applyBorder="1" applyAlignment="1">
      <alignment horizontal="right"/>
    </xf>
    <xf numFmtId="43" fontId="17" fillId="0" borderId="3" xfId="2" applyFont="1" applyFill="1" applyBorder="1" applyAlignment="1">
      <alignment horizontal="right"/>
    </xf>
    <xf numFmtId="43" fontId="0" fillId="0" borderId="0" xfId="2" applyFont="1" applyFill="1"/>
    <xf numFmtId="168" fontId="3" fillId="0" borderId="0" xfId="0" applyNumberFormat="1" applyFont="1" applyFill="1"/>
    <xf numFmtId="14" fontId="17" fillId="0" borderId="0" xfId="2" quotePrefix="1" applyNumberFormat="1" applyFont="1" applyFill="1" applyAlignment="1">
      <alignment horizontal="right"/>
    </xf>
    <xf numFmtId="39" fontId="2" fillId="0" borderId="2" xfId="0" applyNumberFormat="1" applyFont="1" applyFill="1" applyBorder="1"/>
    <xf numFmtId="39" fontId="2" fillId="0" borderId="0" xfId="6" applyNumberFormat="1" applyFont="1" applyFill="1"/>
    <xf numFmtId="164" fontId="3" fillId="0" borderId="0" xfId="6" applyFont="1" applyFill="1" applyBorder="1" applyAlignment="1"/>
    <xf numFmtId="165" fontId="2" fillId="0" borderId="0" xfId="6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37" fontId="2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9" fontId="3" fillId="0" borderId="0" xfId="2" applyNumberFormat="1" applyFont="1" applyFill="1" applyBorder="1" applyAlignment="1">
      <alignment horizontal="center"/>
    </xf>
    <xf numFmtId="169" fontId="3" fillId="0" borderId="0" xfId="6" quotePrefix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3" fontId="3" fillId="0" borderId="0" xfId="4" applyFont="1" applyFill="1"/>
    <xf numFmtId="164" fontId="2" fillId="0" borderId="0" xfId="6" quotePrefix="1" applyFont="1" applyFill="1" applyAlignment="1"/>
    <xf numFmtId="0" fontId="2" fillId="0" borderId="0" xfId="6" quotePrefix="1" applyNumberFormat="1" applyFont="1" applyFill="1" applyAlignment="1">
      <alignment horizontal="center"/>
    </xf>
    <xf numFmtId="43" fontId="3" fillId="0" borderId="0" xfId="0" applyNumberFormat="1" applyFont="1" applyFill="1"/>
    <xf numFmtId="43" fontId="3" fillId="0" borderId="0" xfId="0" applyNumberFormat="1" applyFont="1" applyFill="1" applyAlignment="1">
      <alignment horizontal="right"/>
    </xf>
    <xf numFmtId="41" fontId="0" fillId="0" borderId="0" xfId="2" applyNumberFormat="1" applyFont="1" applyFill="1" applyAlignment="1">
      <alignment horizontal="right"/>
    </xf>
    <xf numFmtId="169" fontId="3" fillId="0" borderId="0" xfId="2" applyNumberFormat="1" applyFont="1" applyFill="1" applyBorder="1" applyAlignment="1">
      <alignment horizontal="right"/>
    </xf>
    <xf numFmtId="169" fontId="3" fillId="0" borderId="0" xfId="2" applyNumberFormat="1" applyFont="1" applyFill="1" applyAlignment="1">
      <alignment horizontal="right"/>
    </xf>
    <xf numFmtId="169" fontId="3" fillId="0" borderId="0" xfId="6" quotePrefix="1" applyNumberFormat="1" applyFont="1" applyFill="1" applyBorder="1" applyAlignment="1"/>
    <xf numFmtId="165" fontId="4" fillId="0" borderId="0" xfId="6" quotePrefix="1" applyNumberFormat="1" applyFont="1" applyFill="1" applyBorder="1" applyAlignment="1"/>
    <xf numFmtId="0" fontId="0" fillId="0" borderId="0" xfId="2" applyNumberFormat="1" applyFont="1" applyFill="1" applyBorder="1" applyAlignment="1"/>
    <xf numFmtId="0" fontId="0" fillId="0" borderId="0" xfId="2" applyNumberFormat="1" applyFont="1" applyFill="1" applyBorder="1" applyAlignment="1">
      <alignment horizontal="center"/>
    </xf>
    <xf numFmtId="169" fontId="3" fillId="0" borderId="0" xfId="6" applyNumberFormat="1" applyFont="1" applyFill="1" applyAlignment="1">
      <alignment horizontal="right"/>
    </xf>
    <xf numFmtId="165" fontId="2" fillId="0" borderId="0" xfId="6" applyNumberFormat="1" applyFont="1" applyFill="1" applyAlignment="1">
      <alignment horizontal="centerContinuous"/>
    </xf>
    <xf numFmtId="0" fontId="2" fillId="0" borderId="0" xfId="6" applyNumberFormat="1" applyFont="1" applyFill="1" applyBorder="1" applyAlignment="1">
      <alignment horizontal="left" indent="2"/>
    </xf>
    <xf numFmtId="169" fontId="2" fillId="0" borderId="4" xfId="4" applyNumberFormat="1" applyFont="1" applyFill="1" applyBorder="1" applyAlignment="1">
      <alignment horizontal="center"/>
    </xf>
    <xf numFmtId="169" fontId="2" fillId="0" borderId="1" xfId="2" applyNumberFormat="1" applyFont="1" applyFill="1" applyBorder="1"/>
    <xf numFmtId="166" fontId="3" fillId="0" borderId="4" xfId="2" applyNumberFormat="1" applyFont="1" applyFill="1" applyBorder="1" applyAlignment="1"/>
    <xf numFmtId="166" fontId="2" fillId="0" borderId="0" xfId="6" applyNumberFormat="1" applyFont="1" applyFill="1" applyAlignment="1"/>
    <xf numFmtId="166" fontId="0" fillId="0" borderId="0" xfId="0" applyNumberFormat="1" applyFont="1" applyFill="1" applyAlignment="1"/>
    <xf numFmtId="166" fontId="2" fillId="0" borderId="0" xfId="0" applyNumberFormat="1" applyFont="1" applyFill="1" applyBorder="1" applyAlignment="1"/>
    <xf numFmtId="168" fontId="3" fillId="0" borderId="0" xfId="2" applyNumberFormat="1" applyFont="1" applyFill="1" applyBorder="1" applyAlignment="1"/>
    <xf numFmtId="0" fontId="19" fillId="0" borderId="0" xfId="0" applyFont="1" applyFill="1" applyAlignment="1"/>
    <xf numFmtId="0" fontId="20" fillId="0" borderId="0" xfId="0" applyFont="1" applyFill="1" applyBorder="1" applyAlignment="1"/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43" fontId="0" fillId="0" borderId="0" xfId="3" applyFont="1" applyFill="1" applyBorder="1" applyAlignment="1">
      <alignment horizontal="right"/>
    </xf>
    <xf numFmtId="169" fontId="2" fillId="0" borderId="0" xfId="3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9" fontId="0" fillId="0" borderId="0" xfId="2" applyNumberFormat="1" applyFont="1" applyFill="1" applyBorder="1" applyAlignment="1">
      <alignment horizontal="right"/>
    </xf>
    <xf numFmtId="43" fontId="20" fillId="0" borderId="0" xfId="2" applyFont="1" applyFill="1" applyAlignment="1"/>
    <xf numFmtId="169" fontId="2" fillId="0" borderId="0" xfId="2" applyNumberFormat="1" applyFont="1" applyFill="1" applyBorder="1" applyAlignment="1">
      <alignment horizontal="right"/>
    </xf>
    <xf numFmtId="164" fontId="7" fillId="0" borderId="0" xfId="6" applyFont="1" applyFill="1"/>
    <xf numFmtId="166" fontId="2" fillId="0" borderId="0" xfId="3" applyNumberFormat="1" applyFont="1" applyFill="1" applyBorder="1"/>
    <xf numFmtId="41" fontId="0" fillId="0" borderId="4" xfId="0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/>
    <xf numFmtId="2" fontId="6" fillId="0" borderId="0" xfId="6" quotePrefix="1" applyNumberFormat="1" applyFont="1" applyFill="1" applyAlignment="1">
      <alignment horizontal="center"/>
    </xf>
    <xf numFmtId="0" fontId="6" fillId="0" borderId="0" xfId="6" quotePrefix="1" applyNumberFormat="1" applyFont="1" applyFill="1" applyAlignment="1">
      <alignment horizontal="center"/>
    </xf>
    <xf numFmtId="166" fontId="3" fillId="0" borderId="4" xfId="0" quotePrefix="1" applyNumberFormat="1" applyFont="1" applyFill="1" applyBorder="1" applyAlignment="1"/>
    <xf numFmtId="168" fontId="2" fillId="0" borderId="1" xfId="2" applyNumberFormat="1" applyFont="1" applyFill="1" applyBorder="1"/>
    <xf numFmtId="43" fontId="0" fillId="0" borderId="0" xfId="2" applyFont="1" applyFill="1" applyBorder="1" applyAlignment="1">
      <alignment horizontal="center"/>
    </xf>
    <xf numFmtId="43" fontId="2" fillId="0" borderId="4" xfId="2" applyFont="1" applyFill="1" applyBorder="1" applyAlignment="1"/>
    <xf numFmtId="43" fontId="2" fillId="0" borderId="0" xfId="2" applyFont="1" applyFill="1" applyBorder="1" applyAlignment="1">
      <alignment horizontal="center"/>
    </xf>
    <xf numFmtId="43" fontId="2" fillId="0" borderId="0" xfId="2" applyFont="1" applyFill="1" applyBorder="1" applyAlignment="1"/>
    <xf numFmtId="169" fontId="0" fillId="0" borderId="4" xfId="2" applyNumberFormat="1" applyFont="1" applyFill="1" applyBorder="1" applyAlignment="1">
      <alignment horizontal="right"/>
    </xf>
    <xf numFmtId="169" fontId="2" fillId="0" borderId="4" xfId="2" applyNumberFormat="1" applyFont="1" applyFill="1" applyBorder="1" applyAlignment="1"/>
    <xf numFmtId="169" fontId="2" fillId="0" borderId="0" xfId="0" applyNumberFormat="1" applyFont="1" applyFill="1" applyBorder="1" applyAlignment="1">
      <alignment horizontal="right"/>
    </xf>
    <xf numFmtId="169" fontId="2" fillId="0" borderId="0" xfId="2" applyNumberFormat="1" applyFont="1" applyFill="1" applyBorder="1"/>
    <xf numFmtId="49" fontId="3" fillId="0" borderId="0" xfId="6" applyNumberFormat="1" applyFont="1" applyFill="1" applyAlignment="1">
      <alignment horizontal="center"/>
    </xf>
    <xf numFmtId="165" fontId="4" fillId="0" borderId="0" xfId="6" applyNumberFormat="1" applyFont="1" applyFill="1" applyAlignment="1">
      <alignment horizontal="left"/>
    </xf>
    <xf numFmtId="165" fontId="4" fillId="0" borderId="0" xfId="6" quotePrefix="1" applyNumberFormat="1" applyFont="1" applyFill="1" applyAlignment="1">
      <alignment horizontal="left"/>
    </xf>
    <xf numFmtId="169" fontId="3" fillId="0" borderId="4" xfId="2" applyNumberFormat="1" applyFont="1" applyFill="1" applyBorder="1" applyAlignment="1"/>
    <xf numFmtId="169" fontId="3" fillId="0" borderId="4" xfId="2" applyNumberFormat="1" applyFont="1" applyFill="1" applyBorder="1" applyAlignment="1">
      <alignment horizontal="right"/>
    </xf>
    <xf numFmtId="169" fontId="2" fillId="0" borderId="3" xfId="2" applyNumberFormat="1" applyFont="1" applyFill="1" applyBorder="1" applyAlignment="1"/>
    <xf numFmtId="169" fontId="2" fillId="0" borderId="6" xfId="2" applyNumberFormat="1" applyFont="1" applyFill="1" applyBorder="1" applyAlignment="1">
      <alignment horizontal="right"/>
    </xf>
    <xf numFmtId="164" fontId="4" fillId="0" borderId="0" xfId="6" applyFont="1" applyAlignment="1">
      <alignment horizontal="left"/>
    </xf>
    <xf numFmtId="164" fontId="4" fillId="0" borderId="0" xfId="6" applyFont="1"/>
    <xf numFmtId="165" fontId="4" fillId="0" borderId="0" xfId="6" applyNumberFormat="1" applyFont="1" applyAlignment="1">
      <alignment horizontal="left"/>
    </xf>
    <xf numFmtId="165" fontId="4" fillId="0" borderId="0" xfId="6" quotePrefix="1" applyNumberFormat="1" applyFont="1" applyAlignment="1">
      <alignment horizontal="left"/>
    </xf>
    <xf numFmtId="165" fontId="2" fillId="0" borderId="0" xfId="6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6" applyNumberFormat="1" applyFont="1" applyAlignment="1">
      <alignment horizontal="center"/>
    </xf>
    <xf numFmtId="164" fontId="3" fillId="0" borderId="0" xfId="6" applyAlignment="1">
      <alignment horizontal="left"/>
    </xf>
    <xf numFmtId="164" fontId="0" fillId="0" borderId="0" xfId="6" applyFont="1"/>
    <xf numFmtId="164" fontId="3" fillId="0" borderId="0" xfId="6" quotePrefix="1" applyAlignment="1">
      <alignment horizontal="left"/>
    </xf>
    <xf numFmtId="165" fontId="2" fillId="0" borderId="0" xfId="6" applyNumberFormat="1" applyFont="1" applyAlignment="1">
      <alignment horizontal="left" wrapText="1"/>
    </xf>
    <xf numFmtId="167" fontId="6" fillId="0" borderId="0" xfId="6" applyNumberFormat="1" applyFont="1" applyAlignment="1">
      <alignment horizontal="center"/>
    </xf>
    <xf numFmtId="164" fontId="2" fillId="0" borderId="0" xfId="6" applyFont="1" applyAlignment="1">
      <alignment horizontal="left"/>
    </xf>
    <xf numFmtId="0" fontId="3" fillId="0" borderId="0" xfId="6" applyNumberFormat="1" applyAlignment="1">
      <alignment horizontal="center"/>
    </xf>
    <xf numFmtId="49" fontId="2" fillId="0" borderId="0" xfId="6" applyNumberFormat="1" applyFont="1"/>
    <xf numFmtId="49" fontId="3" fillId="0" borderId="0" xfId="6" applyNumberFormat="1" applyAlignment="1">
      <alignment horizontal="left"/>
    </xf>
    <xf numFmtId="49" fontId="3" fillId="0" borderId="0" xfId="6" applyNumberFormat="1"/>
    <xf numFmtId="165" fontId="7" fillId="0" borderId="0" xfId="6" applyNumberFormat="1" applyFont="1" applyAlignment="1">
      <alignment horizontal="left"/>
    </xf>
    <xf numFmtId="2" fontId="6" fillId="0" borderId="0" xfId="6" applyNumberFormat="1" applyFont="1" applyAlignment="1">
      <alignment horizontal="center"/>
    </xf>
    <xf numFmtId="0" fontId="6" fillId="0" borderId="0" xfId="0" applyFont="1" applyAlignment="1">
      <alignment horizontal="center"/>
    </xf>
    <xf numFmtId="168" fontId="0" fillId="0" borderId="0" xfId="2" applyNumberFormat="1" applyFont="1" applyFill="1"/>
    <xf numFmtId="49" fontId="0" fillId="0" borderId="0" xfId="6" applyNumberFormat="1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0" fillId="0" borderId="0" xfId="6" applyNumberFormat="1" applyFont="1"/>
    <xf numFmtId="49" fontId="3" fillId="0" borderId="0" xfId="6" quotePrefix="1" applyNumberFormat="1" applyAlignment="1">
      <alignment horizontal="left"/>
    </xf>
    <xf numFmtId="169" fontId="2" fillId="0" borderId="2" xfId="2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0" xfId="3" applyNumberFormat="1" applyFont="1" applyFill="1" applyBorder="1" applyAlignment="1">
      <alignment horizontal="right"/>
    </xf>
    <xf numFmtId="164" fontId="6" fillId="0" borderId="0" xfId="6" applyFont="1" applyFill="1" applyAlignment="1">
      <alignment horizontal="center"/>
    </xf>
    <xf numFmtId="49" fontId="6" fillId="0" borderId="0" xfId="6" applyNumberFormat="1" applyFont="1"/>
    <xf numFmtId="39" fontId="2" fillId="0" borderId="0" xfId="0" applyNumberFormat="1" applyFont="1" applyFill="1" applyBorder="1"/>
    <xf numFmtId="165" fontId="4" fillId="0" borderId="0" xfId="6" applyNumberFormat="1" applyFont="1" applyFill="1" applyAlignment="1">
      <alignment horizontal="left"/>
    </xf>
    <xf numFmtId="0" fontId="0" fillId="0" borderId="0" xfId="0" applyFont="1"/>
    <xf numFmtId="164" fontId="3" fillId="0" borderId="0" xfId="6" applyFont="1" applyFill="1" applyBorder="1"/>
    <xf numFmtId="168" fontId="2" fillId="0" borderId="0" xfId="2" applyNumberFormat="1" applyFont="1" applyFill="1" applyBorder="1" applyAlignment="1"/>
    <xf numFmtId="164" fontId="2" fillId="0" borderId="0" xfId="6" applyFont="1" applyFill="1" applyBorder="1"/>
    <xf numFmtId="39" fontId="2" fillId="0" borderId="0" xfId="6" applyNumberFormat="1" applyFont="1" applyFill="1" applyBorder="1"/>
    <xf numFmtId="169" fontId="3" fillId="0" borderId="0" xfId="2" applyNumberFormat="1" applyFont="1" applyFill="1"/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 wrapText="1"/>
    </xf>
    <xf numFmtId="43" fontId="0" fillId="0" borderId="4" xfId="2" applyFont="1" applyFill="1" applyBorder="1" applyAlignment="1"/>
    <xf numFmtId="169" fontId="0" fillId="0" borderId="4" xfId="2" applyNumberFormat="1" applyFont="1" applyFill="1" applyBorder="1" applyAlignment="1"/>
    <xf numFmtId="43" fontId="0" fillId="0" borderId="0" xfId="2" applyFont="1" applyFill="1" applyAlignment="1"/>
    <xf numFmtId="0" fontId="6" fillId="0" borderId="0" xfId="0" applyFont="1" applyFill="1" applyAlignment="1"/>
    <xf numFmtId="165" fontId="2" fillId="0" borderId="0" xfId="6" applyNumberFormat="1" applyFont="1" applyFill="1" applyAlignment="1"/>
    <xf numFmtId="165" fontId="2" fillId="0" borderId="0" xfId="6" quotePrefix="1" applyNumberFormat="1" applyFont="1" applyFill="1" applyAlignment="1">
      <alignment horizontal="left"/>
    </xf>
    <xf numFmtId="165" fontId="2" fillId="0" borderId="0" xfId="6" quotePrefix="1" applyNumberFormat="1" applyFont="1" applyFill="1" applyAlignment="1"/>
    <xf numFmtId="0" fontId="3" fillId="0" borderId="0" xfId="6" applyNumberFormat="1" applyFont="1" applyAlignment="1">
      <alignment horizontal="centerContinuous"/>
    </xf>
    <xf numFmtId="164" fontId="3" fillId="0" borderId="0" xfId="6" applyFont="1" applyAlignment="1">
      <alignment horizontal="left"/>
    </xf>
    <xf numFmtId="0" fontId="2" fillId="0" borderId="0" xfId="6" applyNumberFormat="1" applyFont="1" applyFill="1" applyAlignment="1">
      <alignment horizontal="left"/>
    </xf>
    <xf numFmtId="169" fontId="3" fillId="0" borderId="0" xfId="4" applyNumberFormat="1" applyFont="1" applyFill="1" applyAlignment="1">
      <alignment horizontal="center"/>
    </xf>
    <xf numFmtId="165" fontId="3" fillId="0" borderId="0" xfId="6" applyNumberFormat="1" applyFont="1" applyAlignment="1">
      <alignment horizontal="left"/>
    </xf>
    <xf numFmtId="165" fontId="3" fillId="0" borderId="0" xfId="6" applyNumberFormat="1" applyFont="1" applyFill="1" applyAlignment="1">
      <alignment horizontal="left"/>
    </xf>
    <xf numFmtId="168" fontId="3" fillId="0" borderId="0" xfId="2" applyNumberFormat="1" applyFont="1" applyFill="1" applyBorder="1" applyAlignment="1">
      <alignment horizontal="right"/>
    </xf>
    <xf numFmtId="169" fontId="3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Alignment="1">
      <alignment horizontal="center"/>
    </xf>
    <xf numFmtId="166" fontId="3" fillId="0" borderId="0" xfId="4" applyNumberFormat="1" applyFont="1" applyFill="1" applyBorder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/>
    <xf numFmtId="169" fontId="3" fillId="0" borderId="0" xfId="0" applyNumberFormat="1" applyFont="1" applyFill="1" applyAlignment="1"/>
    <xf numFmtId="169" fontId="3" fillId="0" borderId="4" xfId="2" applyNumberFormat="1" applyFont="1" applyFill="1" applyBorder="1"/>
    <xf numFmtId="165" fontId="2" fillId="0" borderId="0" xfId="6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5" fontId="0" fillId="0" borderId="0" xfId="6" applyNumberFormat="1" applyFont="1" applyAlignment="1">
      <alignment horizontal="center"/>
    </xf>
    <xf numFmtId="168" fontId="0" fillId="0" borderId="0" xfId="2" applyNumberFormat="1" applyFont="1" applyFill="1" applyAlignment="1">
      <alignment horizontal="centerContinuous" wrapText="1"/>
    </xf>
    <xf numFmtId="168" fontId="0" fillId="0" borderId="0" xfId="2" applyNumberFormat="1" applyFont="1" applyFill="1" applyAlignment="1">
      <alignment horizontal="center"/>
    </xf>
    <xf numFmtId="166" fontId="0" fillId="0" borderId="0" xfId="0" applyNumberFormat="1" applyFont="1" applyFill="1"/>
    <xf numFmtId="168" fontId="0" fillId="0" borderId="4" xfId="2" applyNumberFormat="1" applyFont="1" applyFill="1" applyBorder="1"/>
    <xf numFmtId="168" fontId="0" fillId="0" borderId="0" xfId="0" applyNumberFormat="1" applyFont="1" applyFill="1"/>
    <xf numFmtId="168" fontId="0" fillId="0" borderId="2" xfId="2" applyNumberFormat="1" applyFont="1" applyFill="1" applyBorder="1"/>
    <xf numFmtId="0" fontId="0" fillId="0" borderId="0" xfId="0" applyFont="1" applyFill="1" applyBorder="1"/>
    <xf numFmtId="43" fontId="21" fillId="0" borderId="0" xfId="2" applyNumberFormat="1" applyFont="1" applyFill="1" applyBorder="1" applyAlignment="1">
      <alignment horizontal="right" vertical="center"/>
    </xf>
    <xf numFmtId="49" fontId="0" fillId="0" borderId="0" xfId="6" quotePrefix="1" applyNumberFormat="1" applyFont="1" applyAlignment="1">
      <alignment horizontal="left"/>
    </xf>
    <xf numFmtId="43" fontId="0" fillId="0" borderId="0" xfId="0" applyNumberFormat="1" applyFont="1" applyFill="1" applyBorder="1"/>
    <xf numFmtId="168" fontId="0" fillId="0" borderId="0" xfId="2" applyNumberFormat="1" applyFont="1" applyFill="1" applyBorder="1"/>
    <xf numFmtId="168" fontId="0" fillId="0" borderId="0" xfId="0" applyNumberFormat="1" applyFont="1" applyFill="1" applyBorder="1"/>
    <xf numFmtId="0" fontId="0" fillId="0" borderId="0" xfId="6" applyNumberFormat="1" applyFont="1" applyAlignment="1">
      <alignment horizontal="center"/>
    </xf>
    <xf numFmtId="165" fontId="2" fillId="0" borderId="0" xfId="6" quotePrefix="1" applyNumberFormat="1" applyFont="1" applyAlignment="1">
      <alignment horizontal="left"/>
    </xf>
    <xf numFmtId="165" fontId="3" fillId="0" borderId="0" xfId="6" applyNumberFormat="1" applyFont="1" applyAlignment="1">
      <alignment horizontal="center"/>
    </xf>
    <xf numFmtId="164" fontId="3" fillId="0" borderId="0" xfId="6" applyFont="1"/>
    <xf numFmtId="164" fontId="3" fillId="0" borderId="0" xfId="6" applyFont="1" applyAlignment="1">
      <alignment horizontal="center"/>
    </xf>
    <xf numFmtId="164" fontId="3" fillId="0" borderId="0" xfId="6" quotePrefix="1" applyFont="1" applyAlignment="1">
      <alignment horizontal="left"/>
    </xf>
    <xf numFmtId="0" fontId="3" fillId="0" borderId="0" xfId="6" applyNumberFormat="1" applyFont="1" applyAlignment="1">
      <alignment horizontal="center"/>
    </xf>
    <xf numFmtId="165" fontId="0" fillId="0" borderId="0" xfId="6" applyNumberFormat="1" applyFont="1" applyFill="1" applyAlignment="1">
      <alignment horizontal="left"/>
    </xf>
    <xf numFmtId="165" fontId="4" fillId="0" borderId="0" xfId="6" quotePrefix="1" applyNumberFormat="1" applyFont="1" applyFill="1" applyAlignment="1">
      <alignment horizontal="left"/>
    </xf>
    <xf numFmtId="164" fontId="4" fillId="0" borderId="0" xfId="6" applyFont="1" applyFill="1"/>
    <xf numFmtId="0" fontId="3" fillId="0" borderId="0" xfId="6" applyNumberFormat="1" applyFont="1" applyFill="1" applyAlignment="1">
      <alignment horizontal="centerContinuous"/>
    </xf>
    <xf numFmtId="0" fontId="0" fillId="0" borderId="0" xfId="6" applyNumberFormat="1" applyFont="1" applyFill="1" applyAlignment="1">
      <alignment horizontal="centerContinuous"/>
    </xf>
    <xf numFmtId="165" fontId="6" fillId="0" borderId="0" xfId="0" applyNumberFormat="1" applyFont="1" applyFill="1" applyAlignment="1">
      <alignment horizontal="center"/>
    </xf>
    <xf numFmtId="37" fontId="0" fillId="0" borderId="0" xfId="0" applyNumberFormat="1" applyFont="1" applyFill="1"/>
    <xf numFmtId="169" fontId="0" fillId="0" borderId="4" xfId="0" applyNumberFormat="1" applyFont="1" applyFill="1" applyBorder="1"/>
    <xf numFmtId="166" fontId="3" fillId="0" borderId="0" xfId="0" quotePrefix="1" applyNumberFormat="1" applyFont="1" applyFill="1"/>
    <xf numFmtId="166" fontId="3" fillId="0" borderId="4" xfId="0" quotePrefix="1" applyNumberFormat="1" applyFont="1" applyFill="1" applyBorder="1"/>
    <xf numFmtId="164" fontId="2" fillId="0" borderId="0" xfId="6" applyFont="1"/>
    <xf numFmtId="49" fontId="3" fillId="0" borderId="0" xfId="6" applyNumberForma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4" fillId="0" borderId="0" xfId="6" applyNumberFormat="1" applyFont="1" applyFill="1" applyAlignment="1">
      <alignment horizontal="left"/>
    </xf>
    <xf numFmtId="164" fontId="5" fillId="0" borderId="0" xfId="6" applyFont="1" applyFill="1" applyAlignment="1">
      <alignment horizontal="right"/>
    </xf>
    <xf numFmtId="165" fontId="3" fillId="0" borderId="0" xfId="6" applyNumberFormat="1" applyFont="1" applyFill="1" applyAlignment="1">
      <alignment horizontal="center" wrapText="1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165" fontId="3" fillId="0" borderId="0" xfId="6" applyNumberFormat="1" applyFont="1" applyFill="1" applyAlignment="1">
      <alignment horizontal="center"/>
    </xf>
    <xf numFmtId="165" fontId="4" fillId="0" borderId="0" xfId="6" quotePrefix="1" applyNumberFormat="1" applyFont="1" applyFill="1" applyAlignment="1">
      <alignment horizontal="left"/>
    </xf>
    <xf numFmtId="0" fontId="0" fillId="0" borderId="0" xfId="0" applyFont="1"/>
    <xf numFmtId="164" fontId="4" fillId="0" borderId="0" xfId="6" applyFont="1" applyAlignment="1">
      <alignment horizontal="left"/>
    </xf>
    <xf numFmtId="164" fontId="4" fillId="0" borderId="0" xfId="6" applyFont="1"/>
  </cellXfs>
  <cellStyles count="8">
    <cellStyle name="0,0_x000d__x000a_NA_x000d__x000a_" xfId="1" xr:uid="{00000000-0005-0000-0000-000000000000}"/>
    <cellStyle name="Comma" xfId="2" builtinId="3"/>
    <cellStyle name="Comma 2" xfId="3" xr:uid="{00000000-0005-0000-0000-000002000000}"/>
    <cellStyle name="Comma 3" xfId="4" xr:uid="{00000000-0005-0000-0000-000003000000}"/>
    <cellStyle name="Normal" xfId="0" builtinId="0"/>
    <cellStyle name="Normal 13 3" xfId="5" xr:uid="{00000000-0005-0000-0000-000005000000}"/>
    <cellStyle name="Normal_AAJ-99" xfId="6" xr:uid="{00000000-0005-0000-0000-000006000000}"/>
    <cellStyle name="Normal_kas003a111a-12t-1 Rev 1_Draft1_YE" xfId="7" xr:uid="{00000000-0005-0000-0000-000007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CER\AppData\Local\Temp\Rar$DIa0.017\BS%20&amp;%20PL_Effective%2001.01.17_v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sdanvachirakul\Desktop\KS%20HY18\KS%20Lead%20sheet%2030.6.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pornsakulrat\Desktop\HY22_KS\HY22_KS%20FS\-%202022%20Jun-FSA-Kasikorn%20Securities-06t%20margi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ptunsrisuroj\AppData\Local\Microsoft\Windows\Temporary%20Internet%20Files\Content.Outlook\831QL266\Effective%20rate_commitment_Jun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Ls_XLB_WorkbookFile"/>
      <sheetName val="BS"/>
      <sheetName val="Ls_AgXLB_WorkbookFile"/>
      <sheetName val="PL"/>
      <sheetName val="List"/>
    </sheetNames>
    <sheetDataSet>
      <sheetData sheetId="0" refreshError="1">
        <row r="7">
          <cell r="F7" t="str">
            <v>KS1</v>
          </cell>
        </row>
        <row r="11">
          <cell r="F11">
            <v>42370</v>
          </cell>
        </row>
        <row r="12">
          <cell r="F12">
            <v>42735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BS"/>
      <sheetName val="CASH"/>
      <sheetName val="CF WS"/>
      <sheetName val="Instructions"/>
      <sheetName val="New Account Code"/>
      <sheetName val="TB 31Dec17"/>
      <sheetName val="WCF-HY16"/>
      <sheetName val="Cashflow"/>
      <sheetName val="Support CF"/>
      <sheetName val="DEv INV"/>
      <sheetName val="Reconcile-CF"/>
      <sheetName val="TB31.12.2014"/>
      <sheetName val="TB 30.6.18"/>
      <sheetName val="TB_31.12.13"/>
      <sheetName val="CF 31DEC16"/>
      <sheetName val="TB_31.12.16 (Final)"/>
      <sheetName val="Impact"/>
      <sheetName val="ASSETS"/>
      <sheetName val="LIA"/>
      <sheetName val="PL"/>
      <sheetName val="CM Cash 3.2 "/>
      <sheetName val="DER Receivable fromTSD&amp;TCH 3.2"/>
      <sheetName val=" Sec&amp;Derv receive 3.2"/>
      <sheetName val=" Sec&amp;Derv payable 3.2"/>
      <sheetName val="MNS Short term Investment 3.3.1"/>
      <sheetName val="MNS General Investement 3.3.1"/>
      <sheetName val="MNS Trading Securities 3.3.1"/>
      <sheetName val="MNS Derivative asset 3.3.1"/>
      <sheetName val="MNS Fixed asset 3.3.1"/>
      <sheetName val="MNS Intangible asset 3.3.1"/>
      <sheetName val="MNS Other asset 3.3.1"/>
      <sheetName val="DER Payable to TSD&amp;TCH 3.2"/>
      <sheetName val="MNS Bond payable 3.2"/>
      <sheetName val="MNS Derivative Lia 3.3.1"/>
      <sheetName val="MNS Accrued expense 3.3.1"/>
      <sheetName val="MNS Finance Lease Liab 3.3.1"/>
      <sheetName val="MNS Other liabilities 3.3.1"/>
      <sheetName val="Provision  3.2"/>
      <sheetName val="Loan from related party "/>
      <sheetName val="MNS Share capital 3.3.1"/>
      <sheetName val="SEC and MNS Revenue 3.2,3.3.1"/>
      <sheetName val="SEC-Brokerage fee 3.2"/>
      <sheetName val="DER-Brokerage fee 3.2"/>
      <sheetName val="MNS Fee and Service income 3.3"/>
      <sheetName val="MNS Gain (Loss) on inv 3.3"/>
      <sheetName val="MNS Gain (Loss) on der 3.3"/>
      <sheetName val="ทด"/>
      <sheetName val="MNS Interest and dividend 3.3"/>
      <sheetName val="MNS Other income 3.3.1"/>
      <sheetName val="SEC Expense on borrowing 3.2"/>
      <sheetName val="SEC Fee and service expense 3.2"/>
      <sheetName val="Admin Expense 3.2,3.3.1"/>
      <sheetName val="MNS Other admin expense 3.3"/>
      <sheetName val="HR Personel expense 3.2"/>
      <sheetName val="MNS Equipment Exp 3.3.1"/>
      <sheetName val="SD  Taxes and duties 3.2"/>
      <sheetName val="SD Income tax 3.2"/>
      <sheetName val="TB 31.12.12"/>
      <sheetName val="TB 30.06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0">
          <cell r="I10">
            <v>773184328.19999993</v>
          </cell>
        </row>
        <row r="11">
          <cell r="I11">
            <v>104390575.94</v>
          </cell>
        </row>
        <row r="12">
          <cell r="I12">
            <v>18835188.399999999</v>
          </cell>
        </row>
        <row r="13">
          <cell r="I13">
            <v>-509683337.19</v>
          </cell>
        </row>
        <row r="14">
          <cell r="I14">
            <v>589979176.23000002</v>
          </cell>
        </row>
        <row r="15">
          <cell r="I15">
            <v>159945104.30000001</v>
          </cell>
        </row>
        <row r="16">
          <cell r="I16">
            <v>84607077.569999993</v>
          </cell>
        </row>
        <row r="17">
          <cell r="I17">
            <v>6699190.71</v>
          </cell>
        </row>
        <row r="22">
          <cell r="I22">
            <v>56768469.479999989</v>
          </cell>
        </row>
        <row r="23">
          <cell r="I23">
            <v>77270715.349999994</v>
          </cell>
        </row>
        <row r="25">
          <cell r="I25">
            <v>398948810.57999998</v>
          </cell>
        </row>
        <row r="26">
          <cell r="I26">
            <v>78566822.920000002</v>
          </cell>
        </row>
        <row r="27">
          <cell r="I27">
            <v>5698757.7800000003</v>
          </cell>
        </row>
        <row r="29">
          <cell r="I29">
            <v>57271983.320000008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"/>
      <sheetName val="SH"/>
      <sheetName val="CF"/>
      <sheetName val="CF_Old"/>
      <sheetName val="worksheetCF"/>
      <sheetName val="worksheet CF"/>
    </sheetNames>
    <sheetDataSet>
      <sheetData sheetId="0">
        <row r="100">
          <cell r="J100">
            <v>568634124.33999991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30.6.2013"/>
      <sheetName val="Effective rate"/>
      <sheetName val="loan_Dec11"/>
      <sheetName val="Loan"/>
      <sheetName val="Int on Margin"/>
      <sheetName val="TCH rate"/>
      <sheetName val="Cash_TCH_Dec 2011"/>
      <sheetName val="Fully Dep."/>
      <sheetName val="BL1_New"/>
      <sheetName val="BL1_New_Dec11"/>
      <sheetName val="worksheet_CF_Dec 13"/>
      <sheetName val="worksheet_CF_Dec11_Update"/>
      <sheetName val="Leasing portion_June 13"/>
      <sheetName val="Effective rate_Dec 12"/>
      <sheetName val="salary reconciliation_2013"/>
      <sheetName val="Officr Supply"/>
      <sheetName val="Fair Value"/>
      <sheetName val="Commitment"/>
      <sheetName val="PL"/>
      <sheetName val="BS_กับบ.ในเครือ"/>
      <sheetName val="PL_กับบ.ในเครือ"/>
    </sheetNames>
    <sheetDataSet>
      <sheetData sheetId="0">
        <row r="128">
          <cell r="F128">
            <v>-3565606182.3499999</v>
          </cell>
        </row>
        <row r="129">
          <cell r="F129">
            <v>-897135100.54999995</v>
          </cell>
        </row>
        <row r="130">
          <cell r="F130">
            <v>-336655457.48000002</v>
          </cell>
        </row>
        <row r="147">
          <cell r="F147">
            <v>-39223543.340000004</v>
          </cell>
        </row>
        <row r="148">
          <cell r="F148">
            <v>-42742561.079999998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B8">
            <v>789772846.75</v>
          </cell>
        </row>
        <row r="12">
          <cell r="B12">
            <v>25002783.440000001</v>
          </cell>
        </row>
        <row r="13">
          <cell r="B13">
            <v>1000000</v>
          </cell>
        </row>
        <row r="15">
          <cell r="B15">
            <v>1269171569.79</v>
          </cell>
        </row>
        <row r="16">
          <cell r="B16">
            <v>4662115784.71</v>
          </cell>
        </row>
        <row r="21">
          <cell r="B21">
            <v>4137046.6</v>
          </cell>
        </row>
        <row r="22">
          <cell r="B22">
            <v>237527437.03999999</v>
          </cell>
        </row>
        <row r="23">
          <cell r="B23">
            <v>42517745.960000001</v>
          </cell>
        </row>
        <row r="25">
          <cell r="B25">
            <v>66865515.369999997</v>
          </cell>
        </row>
        <row r="26">
          <cell r="B26">
            <v>8959662.2799999993</v>
          </cell>
        </row>
        <row r="28">
          <cell r="B28">
            <v>81907530.030000001</v>
          </cell>
        </row>
        <row r="35">
          <cell r="B35">
            <v>15125036.18</v>
          </cell>
        </row>
        <row r="40">
          <cell r="B40">
            <v>200000000</v>
          </cell>
        </row>
        <row r="42">
          <cell r="B42">
            <v>237458388.33000001</v>
          </cell>
        </row>
        <row r="43">
          <cell r="B43">
            <v>3686586867.1999998</v>
          </cell>
        </row>
        <row r="44">
          <cell r="B44">
            <v>59945186.759999998</v>
          </cell>
        </row>
        <row r="46">
          <cell r="B46">
            <v>48150290.25</v>
          </cell>
        </row>
        <row r="49">
          <cell r="B49">
            <v>359668676.51999998</v>
          </cell>
        </row>
        <row r="51">
          <cell r="B51">
            <v>47687606.289999999</v>
          </cell>
        </row>
        <row r="53">
          <cell r="B53">
            <v>15576744.199999999</v>
          </cell>
        </row>
        <row r="59">
          <cell r="B59">
            <v>500009385</v>
          </cell>
        </row>
        <row r="60">
          <cell r="B60">
            <v>500009385</v>
          </cell>
        </row>
        <row r="63">
          <cell r="B63">
            <v>334232400</v>
          </cell>
        </row>
        <row r="68">
          <cell r="B68">
            <v>50100000</v>
          </cell>
        </row>
        <row r="70">
          <cell r="B70">
            <v>1670007452.05</v>
          </cell>
        </row>
        <row r="72">
          <cell r="B72">
            <v>-5320038.45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71"/>
  <sheetViews>
    <sheetView showGridLines="0" tabSelected="1" view="pageBreakPreview" zoomScaleNormal="100" zoomScaleSheetLayoutView="100" workbookViewId="0">
      <selection activeCell="U16" sqref="U16"/>
    </sheetView>
  </sheetViews>
  <sheetFormatPr defaultColWidth="9.140625" defaultRowHeight="21.75" customHeight="1" x14ac:dyDescent="0.45"/>
  <cols>
    <col min="1" max="3" width="2.7109375" style="16" customWidth="1"/>
    <col min="4" max="4" width="8.7109375" style="16" customWidth="1"/>
    <col min="5" max="5" width="6.42578125" style="16" customWidth="1"/>
    <col min="6" max="6" width="9.85546875" style="16" customWidth="1"/>
    <col min="7" max="7" width="24.7109375" style="16" customWidth="1"/>
    <col min="8" max="8" width="10.140625" style="38" customWidth="1"/>
    <col min="9" max="9" width="1.5703125" style="16" customWidth="1"/>
    <col min="10" max="10" width="15.5703125" style="16" customWidth="1"/>
    <col min="11" max="11" width="1.5703125" style="16" customWidth="1"/>
    <col min="12" max="12" width="15.5703125" style="16" customWidth="1"/>
    <col min="13" max="13" width="1.42578125" style="16" customWidth="1"/>
    <col min="14" max="14" width="18.85546875" style="16" hidden="1" customWidth="1"/>
    <col min="15" max="15" width="16.5703125" style="16" hidden="1" customWidth="1"/>
    <col min="16" max="16" width="12.7109375" style="16" hidden="1" customWidth="1"/>
    <col min="17" max="17" width="9.140625" style="16"/>
    <col min="18" max="18" width="16.5703125" style="16" bestFit="1" customWidth="1"/>
    <col min="19" max="16384" width="9.140625" style="16"/>
  </cols>
  <sheetData>
    <row r="1" spans="1:18" ht="21.75" customHeight="1" x14ac:dyDescent="0.5">
      <c r="A1" s="337" t="s">
        <v>18</v>
      </c>
      <c r="B1" s="337"/>
      <c r="C1" s="337"/>
      <c r="D1" s="337"/>
      <c r="E1" s="337"/>
      <c r="F1" s="337"/>
      <c r="G1" s="337"/>
      <c r="H1" s="337"/>
      <c r="I1" s="337"/>
      <c r="J1" s="160"/>
      <c r="K1" s="160"/>
      <c r="L1" s="160"/>
    </row>
    <row r="2" spans="1:18" ht="21.75" customHeight="1" x14ac:dyDescent="0.5">
      <c r="A2" s="338" t="s">
        <v>104</v>
      </c>
      <c r="B2" s="338"/>
      <c r="C2" s="338"/>
      <c r="D2" s="338"/>
      <c r="E2" s="338"/>
      <c r="F2" s="338"/>
      <c r="G2" s="338"/>
      <c r="H2" s="338"/>
      <c r="I2" s="338"/>
      <c r="J2" s="426"/>
      <c r="K2" s="426"/>
      <c r="L2" s="426"/>
    </row>
    <row r="3" spans="1:18" ht="21.75" customHeight="1" x14ac:dyDescent="0.45">
      <c r="A3" s="341"/>
      <c r="B3" s="418"/>
      <c r="C3" s="418"/>
      <c r="D3" s="418"/>
      <c r="E3" s="418"/>
      <c r="F3" s="418"/>
      <c r="G3" s="418"/>
      <c r="H3" s="418"/>
      <c r="I3" s="418"/>
      <c r="J3" s="385"/>
      <c r="K3" s="385"/>
      <c r="L3" s="385"/>
    </row>
    <row r="4" spans="1:18" ht="21.75" customHeight="1" x14ac:dyDescent="0.45">
      <c r="A4" s="1"/>
      <c r="B4" s="341"/>
      <c r="C4" s="341"/>
      <c r="D4" s="341"/>
      <c r="E4" s="341"/>
      <c r="F4" s="341"/>
      <c r="G4" s="341"/>
      <c r="H4" s="342"/>
      <c r="I4" s="341"/>
      <c r="J4" s="18" t="s">
        <v>184</v>
      </c>
      <c r="L4" s="18" t="s">
        <v>102</v>
      </c>
    </row>
    <row r="5" spans="1:18" ht="21.75" customHeight="1" x14ac:dyDescent="0.45">
      <c r="A5" s="341" t="s">
        <v>1</v>
      </c>
      <c r="B5" s="341"/>
      <c r="C5" s="341"/>
      <c r="D5" s="341"/>
      <c r="E5" s="341"/>
      <c r="F5" s="341"/>
      <c r="G5" s="341"/>
      <c r="H5" s="343" t="s">
        <v>15</v>
      </c>
      <c r="I5" s="341"/>
      <c r="J5" s="18">
        <v>2565</v>
      </c>
      <c r="K5" s="427"/>
      <c r="L5" s="18">
        <v>2564</v>
      </c>
    </row>
    <row r="6" spans="1:18" ht="21.75" customHeight="1" x14ac:dyDescent="0.45">
      <c r="A6" s="419"/>
      <c r="B6" s="419"/>
      <c r="C6" s="419"/>
      <c r="D6" s="419"/>
      <c r="E6" s="419"/>
      <c r="F6" s="1"/>
      <c r="G6" s="420"/>
      <c r="H6" s="342"/>
      <c r="I6" s="419"/>
      <c r="J6" s="436" t="s">
        <v>33</v>
      </c>
      <c r="K6" s="436"/>
      <c r="L6" s="436"/>
    </row>
    <row r="7" spans="1:18" ht="21.75" customHeight="1" x14ac:dyDescent="0.45">
      <c r="A7" s="388" t="s">
        <v>22</v>
      </c>
      <c r="B7" s="421"/>
      <c r="C7" s="421"/>
      <c r="D7" s="421"/>
      <c r="E7" s="421"/>
      <c r="F7" s="421"/>
      <c r="G7" s="421"/>
      <c r="H7" s="343" t="s">
        <v>215</v>
      </c>
      <c r="I7" s="421"/>
      <c r="J7" s="65">
        <v>1214512535</v>
      </c>
      <c r="K7" s="65"/>
      <c r="L7" s="65">
        <v>2283504159</v>
      </c>
      <c r="N7" s="262"/>
      <c r="O7" s="262"/>
      <c r="R7" s="88"/>
    </row>
    <row r="8" spans="1:18" ht="21.75" customHeight="1" x14ac:dyDescent="0.45">
      <c r="A8" s="420" t="s">
        <v>151</v>
      </c>
      <c r="B8" s="421"/>
      <c r="C8" s="421"/>
      <c r="D8" s="421"/>
      <c r="E8" s="421"/>
      <c r="F8" s="421"/>
      <c r="G8" s="421"/>
      <c r="H8" s="343" t="s">
        <v>216</v>
      </c>
      <c r="I8" s="421"/>
      <c r="J8" s="65">
        <v>530372042</v>
      </c>
      <c r="K8" s="65"/>
      <c r="L8" s="65">
        <v>1007872523</v>
      </c>
      <c r="O8" s="262"/>
      <c r="R8" s="88"/>
    </row>
    <row r="9" spans="1:18" ht="21.75" customHeight="1" x14ac:dyDescent="0.45">
      <c r="A9" s="420" t="s">
        <v>45</v>
      </c>
      <c r="B9" s="1"/>
      <c r="C9" s="422"/>
      <c r="D9" s="422"/>
      <c r="E9" s="422"/>
      <c r="F9" s="422"/>
      <c r="G9" s="422"/>
      <c r="H9" s="343" t="s">
        <v>242</v>
      </c>
      <c r="I9" s="422"/>
      <c r="J9" s="65">
        <v>5083952008</v>
      </c>
      <c r="K9" s="66"/>
      <c r="L9" s="65">
        <v>6067767852</v>
      </c>
      <c r="O9" s="262"/>
      <c r="R9" s="88"/>
    </row>
    <row r="10" spans="1:18" ht="21.75" customHeight="1" x14ac:dyDescent="0.45">
      <c r="A10" s="420" t="s">
        <v>188</v>
      </c>
      <c r="B10" s="347"/>
      <c r="C10" s="347"/>
      <c r="D10" s="347"/>
      <c r="E10" s="347"/>
      <c r="F10" s="347"/>
      <c r="G10" s="347"/>
      <c r="H10" s="348" t="s">
        <v>243</v>
      </c>
      <c r="I10" s="347"/>
      <c r="J10" s="65">
        <v>85261308</v>
      </c>
      <c r="K10" s="70"/>
      <c r="L10" s="65">
        <v>72223802</v>
      </c>
      <c r="O10" s="262"/>
      <c r="P10" s="16" t="s">
        <v>189</v>
      </c>
      <c r="R10" s="88"/>
    </row>
    <row r="11" spans="1:18" ht="22.5" customHeight="1" x14ac:dyDescent="0.45">
      <c r="A11" s="388" t="s">
        <v>191</v>
      </c>
      <c r="B11" s="420"/>
      <c r="C11" s="420"/>
      <c r="D11" s="1"/>
      <c r="E11" s="1"/>
      <c r="F11" s="420"/>
      <c r="G11" s="420"/>
      <c r="H11" s="343">
        <v>10</v>
      </c>
      <c r="I11" s="420"/>
      <c r="J11" s="65">
        <v>3255320845</v>
      </c>
      <c r="K11" s="65"/>
      <c r="L11" s="65">
        <v>3852767110</v>
      </c>
      <c r="O11" s="262"/>
      <c r="P11" s="16" t="s">
        <v>190</v>
      </c>
      <c r="R11" s="88"/>
    </row>
    <row r="12" spans="1:18" ht="22.5" customHeight="1" x14ac:dyDescent="0.45">
      <c r="A12" s="388" t="s">
        <v>205</v>
      </c>
      <c r="B12" s="420"/>
      <c r="C12" s="420"/>
      <c r="D12" s="1"/>
      <c r="E12" s="1"/>
      <c r="F12" s="420"/>
      <c r="G12" s="420"/>
      <c r="H12" s="343" t="s">
        <v>214</v>
      </c>
      <c r="I12" s="420"/>
      <c r="J12" s="65">
        <v>45258</v>
      </c>
      <c r="K12" s="65"/>
      <c r="L12" s="65">
        <v>90513</v>
      </c>
      <c r="O12" s="262"/>
      <c r="R12" s="88"/>
    </row>
    <row r="13" spans="1:18" ht="21.75" customHeight="1" x14ac:dyDescent="0.45">
      <c r="A13" s="1" t="s">
        <v>156</v>
      </c>
      <c r="B13" s="422"/>
      <c r="C13" s="422"/>
      <c r="D13" s="420"/>
      <c r="E13" s="420"/>
      <c r="F13" s="420"/>
      <c r="G13" s="420"/>
      <c r="H13" s="343">
        <v>12</v>
      </c>
      <c r="I13" s="420"/>
      <c r="J13" s="65">
        <v>125494007</v>
      </c>
      <c r="K13" s="65"/>
      <c r="L13" s="65">
        <v>120945561</v>
      </c>
      <c r="O13" s="262"/>
      <c r="R13" s="88"/>
    </row>
    <row r="14" spans="1:18" ht="21.75" customHeight="1" x14ac:dyDescent="0.45">
      <c r="A14" s="1" t="s">
        <v>202</v>
      </c>
      <c r="B14" s="422"/>
      <c r="C14" s="422"/>
      <c r="D14" s="420"/>
      <c r="E14" s="420"/>
      <c r="F14" s="420"/>
      <c r="G14" s="420"/>
      <c r="H14" s="343" t="s">
        <v>217</v>
      </c>
      <c r="I14" s="420"/>
      <c r="J14" s="65">
        <v>26234198</v>
      </c>
      <c r="K14" s="65"/>
      <c r="L14" s="65">
        <v>33380363</v>
      </c>
      <c r="O14" s="262"/>
      <c r="R14" s="88"/>
    </row>
    <row r="15" spans="1:18" ht="21.75" customHeight="1" x14ac:dyDescent="0.45">
      <c r="A15" s="420" t="s">
        <v>157</v>
      </c>
      <c r="B15" s="420"/>
      <c r="C15" s="420"/>
      <c r="D15" s="420"/>
      <c r="E15" s="420"/>
      <c r="F15" s="420"/>
      <c r="G15" s="420"/>
      <c r="H15" s="343" t="s">
        <v>244</v>
      </c>
      <c r="I15" s="420"/>
      <c r="J15" s="65">
        <v>95067927</v>
      </c>
      <c r="K15" s="65"/>
      <c r="L15" s="65">
        <v>97835135</v>
      </c>
      <c r="O15" s="262"/>
      <c r="R15" s="88"/>
    </row>
    <row r="16" spans="1:18" ht="21.75" customHeight="1" x14ac:dyDescent="0.45">
      <c r="A16" s="420" t="s">
        <v>172</v>
      </c>
      <c r="B16" s="420"/>
      <c r="C16" s="420"/>
      <c r="D16" s="420"/>
      <c r="E16" s="420"/>
      <c r="F16" s="420"/>
      <c r="G16" s="420"/>
      <c r="H16" s="343">
        <v>28</v>
      </c>
      <c r="I16" s="420"/>
      <c r="J16" s="65">
        <v>65963411</v>
      </c>
      <c r="K16" s="65"/>
      <c r="L16" s="65">
        <v>99020250</v>
      </c>
      <c r="O16" s="262"/>
    </row>
    <row r="17" spans="1:15" ht="21.75" customHeight="1" x14ac:dyDescent="0.45">
      <c r="A17" s="420" t="s">
        <v>12</v>
      </c>
      <c r="B17" s="422"/>
      <c r="C17" s="422"/>
      <c r="D17" s="388"/>
      <c r="E17" s="388"/>
      <c r="F17" s="420"/>
      <c r="G17" s="388"/>
      <c r="H17" s="343" t="s">
        <v>218</v>
      </c>
      <c r="I17" s="388"/>
      <c r="J17" s="83">
        <v>355107552</v>
      </c>
      <c r="K17" s="66"/>
      <c r="L17" s="83">
        <v>381464732</v>
      </c>
      <c r="N17" s="32"/>
      <c r="O17" s="262"/>
    </row>
    <row r="18" spans="1:15" ht="21.75" customHeight="1" thickBot="1" x14ac:dyDescent="0.5">
      <c r="A18" s="349" t="s">
        <v>2</v>
      </c>
      <c r="B18" s="422"/>
      <c r="C18" s="422"/>
      <c r="D18" s="1"/>
      <c r="E18" s="1"/>
      <c r="F18" s="388"/>
      <c r="G18" s="388"/>
      <c r="H18" s="423"/>
      <c r="I18" s="388"/>
      <c r="J18" s="67">
        <f>SUM(J7:J17)</f>
        <v>10837331091</v>
      </c>
      <c r="K18" s="68"/>
      <c r="L18" s="67">
        <f>SUM(L7:L17)</f>
        <v>14016872000</v>
      </c>
      <c r="N18" s="262"/>
    </row>
    <row r="19" spans="1:15" ht="21.75" customHeight="1" thickTop="1" x14ac:dyDescent="0.45">
      <c r="A19" s="349"/>
      <c r="B19" s="346"/>
      <c r="C19" s="346"/>
      <c r="D19" s="1"/>
      <c r="E19" s="1"/>
      <c r="F19" s="344"/>
      <c r="G19" s="344"/>
      <c r="H19" s="350"/>
      <c r="I19" s="344"/>
      <c r="J19" s="69"/>
      <c r="K19" s="68"/>
      <c r="L19" s="69"/>
      <c r="N19" s="262"/>
    </row>
    <row r="20" spans="1:15" ht="21.75" customHeight="1" x14ac:dyDescent="0.45">
      <c r="A20" s="349"/>
      <c r="B20" s="346"/>
      <c r="C20" s="346"/>
      <c r="D20" s="1"/>
      <c r="E20" s="1"/>
      <c r="F20" s="344"/>
      <c r="G20" s="344"/>
      <c r="H20" s="350"/>
      <c r="I20" s="344"/>
      <c r="J20" s="69"/>
      <c r="K20" s="68"/>
      <c r="L20" s="69"/>
      <c r="N20" s="262"/>
    </row>
    <row r="21" spans="1:15" ht="21.75" customHeight="1" x14ac:dyDescent="0.45">
      <c r="A21" s="349"/>
      <c r="B21" s="346"/>
      <c r="C21" s="346"/>
      <c r="D21" s="1"/>
      <c r="E21" s="1"/>
      <c r="F21" s="344"/>
      <c r="G21" s="344"/>
      <c r="H21" s="350"/>
      <c r="I21" s="344"/>
      <c r="J21" s="69"/>
      <c r="K21" s="68"/>
      <c r="L21" s="69"/>
      <c r="N21" s="262"/>
    </row>
    <row r="22" spans="1:15" ht="21.75" customHeight="1" x14ac:dyDescent="0.45">
      <c r="A22" s="349"/>
      <c r="B22" s="346"/>
      <c r="C22" s="346"/>
      <c r="D22" s="1"/>
      <c r="E22" s="1"/>
      <c r="F22" s="344"/>
      <c r="G22" s="344"/>
      <c r="H22" s="350"/>
      <c r="I22" s="344"/>
      <c r="J22" s="69"/>
      <c r="K22" s="68"/>
      <c r="L22" s="69"/>
      <c r="N22" s="262"/>
    </row>
    <row r="23" spans="1:15" ht="21.75" customHeight="1" x14ac:dyDescent="0.45">
      <c r="A23" s="349"/>
      <c r="B23" s="346"/>
      <c r="C23" s="346"/>
      <c r="D23" s="1"/>
      <c r="E23" s="1"/>
      <c r="F23" s="344"/>
      <c r="G23" s="344"/>
      <c r="H23" s="350"/>
      <c r="I23" s="344"/>
      <c r="J23" s="69"/>
      <c r="K23" s="68"/>
      <c r="L23" s="69"/>
      <c r="N23" s="262"/>
    </row>
    <row r="24" spans="1:15" ht="21.75" customHeight="1" x14ac:dyDescent="0.45">
      <c r="A24" s="349"/>
      <c r="B24" s="346"/>
      <c r="C24" s="346"/>
      <c r="D24" s="1"/>
      <c r="E24" s="1"/>
      <c r="F24" s="344"/>
      <c r="G24" s="344"/>
      <c r="H24" s="350"/>
      <c r="I24" s="344"/>
      <c r="J24" s="69"/>
      <c r="K24" s="68"/>
      <c r="L24" s="69"/>
      <c r="N24" s="262"/>
    </row>
    <row r="25" spans="1:15" ht="21.75" customHeight="1" x14ac:dyDescent="0.45">
      <c r="A25" s="349"/>
      <c r="B25" s="346"/>
      <c r="C25" s="346"/>
      <c r="D25" s="1"/>
      <c r="E25" s="1"/>
      <c r="F25" s="344"/>
      <c r="G25" s="344"/>
      <c r="H25" s="350"/>
      <c r="I25" s="344"/>
      <c r="J25" s="69"/>
      <c r="K25" s="68"/>
      <c r="L25" s="69"/>
      <c r="N25" s="262"/>
    </row>
    <row r="26" spans="1:15" ht="21.75" customHeight="1" x14ac:dyDescent="0.45">
      <c r="A26" s="349"/>
      <c r="B26" s="346"/>
      <c r="C26" s="346"/>
      <c r="D26" s="1"/>
      <c r="E26" s="1"/>
      <c r="F26" s="344"/>
      <c r="G26" s="344"/>
      <c r="H26" s="350"/>
      <c r="I26" s="344"/>
      <c r="J26" s="69"/>
      <c r="K26" s="68"/>
      <c r="L26" s="69"/>
      <c r="N26" s="262"/>
    </row>
    <row r="27" spans="1:15" ht="21.75" customHeight="1" x14ac:dyDescent="0.45">
      <c r="A27" s="349"/>
      <c r="B27" s="346"/>
      <c r="C27" s="346"/>
      <c r="D27" s="1"/>
      <c r="E27" s="1"/>
      <c r="F27" s="344"/>
      <c r="G27" s="344"/>
      <c r="H27" s="350"/>
      <c r="I27" s="344"/>
      <c r="J27" s="69"/>
      <c r="K27" s="68"/>
      <c r="L27" s="69"/>
      <c r="N27" s="262"/>
    </row>
    <row r="28" spans="1:15" ht="21.75" customHeight="1" x14ac:dyDescent="0.45">
      <c r="A28" s="349"/>
      <c r="B28" s="346"/>
      <c r="C28" s="346"/>
      <c r="D28" s="1"/>
      <c r="E28" s="1"/>
      <c r="F28" s="344"/>
      <c r="G28" s="344"/>
      <c r="H28" s="350"/>
      <c r="I28" s="344"/>
      <c r="J28" s="69"/>
      <c r="K28" s="68"/>
      <c r="L28" s="69"/>
      <c r="N28" s="262"/>
    </row>
    <row r="29" spans="1:15" ht="22.15" customHeight="1" x14ac:dyDescent="0.45">
      <c r="A29" s="349"/>
      <c r="B29" s="346"/>
      <c r="C29" s="346"/>
      <c r="D29" s="1"/>
      <c r="E29" s="1"/>
      <c r="F29" s="344"/>
      <c r="G29" s="344"/>
      <c r="H29" s="350"/>
      <c r="I29" s="344"/>
      <c r="J29" s="69"/>
      <c r="K29" s="68"/>
      <c r="L29" s="69"/>
      <c r="N29" s="262"/>
    </row>
    <row r="30" spans="1:15" ht="22.15" customHeight="1" x14ac:dyDescent="0.45">
      <c r="A30" s="349"/>
      <c r="B30" s="346"/>
      <c r="C30" s="346"/>
      <c r="D30" s="1"/>
      <c r="E30" s="1"/>
      <c r="F30" s="344"/>
      <c r="G30" s="344"/>
      <c r="H30" s="350"/>
      <c r="I30" s="344"/>
      <c r="J30" s="69"/>
      <c r="K30" s="68"/>
      <c r="L30" s="69"/>
      <c r="N30" s="262"/>
    </row>
    <row r="31" spans="1:15" ht="22.15" customHeight="1" x14ac:dyDescent="0.45">
      <c r="A31" s="349"/>
      <c r="B31" s="346"/>
      <c r="C31" s="346"/>
      <c r="D31" s="1"/>
      <c r="E31" s="1"/>
      <c r="F31" s="344"/>
      <c r="G31" s="344"/>
      <c r="H31" s="350"/>
      <c r="I31" s="344"/>
      <c r="J31" s="69"/>
      <c r="K31" s="68"/>
      <c r="L31" s="69"/>
      <c r="N31" s="262"/>
    </row>
    <row r="32" spans="1:15" ht="22.15" customHeight="1" x14ac:dyDescent="0.45">
      <c r="A32" s="349"/>
      <c r="B32" s="346"/>
      <c r="C32" s="346"/>
      <c r="D32" s="1"/>
      <c r="E32" s="1"/>
      <c r="F32" s="344"/>
      <c r="G32" s="344"/>
      <c r="H32" s="350"/>
      <c r="I32" s="344"/>
      <c r="J32" s="69"/>
      <c r="K32" s="68"/>
      <c r="L32" s="69"/>
      <c r="N32" s="262"/>
    </row>
    <row r="33" spans="1:18" ht="22.15" customHeight="1" x14ac:dyDescent="0.45">
      <c r="A33" s="349"/>
      <c r="B33" s="346"/>
      <c r="C33" s="346"/>
      <c r="D33" s="1"/>
      <c r="E33" s="1"/>
      <c r="F33" s="344"/>
      <c r="G33" s="344"/>
      <c r="H33" s="350"/>
      <c r="I33" s="344"/>
      <c r="J33" s="69"/>
      <c r="K33" s="68"/>
      <c r="L33" s="69"/>
    </row>
    <row r="34" spans="1:18" ht="25.9" customHeight="1" x14ac:dyDescent="0.45">
      <c r="A34" s="351"/>
      <c r="B34" s="352"/>
      <c r="C34" s="352"/>
      <c r="D34" s="1"/>
      <c r="E34" s="353" t="s">
        <v>36</v>
      </c>
      <c r="F34" s="1"/>
      <c r="G34" s="353"/>
      <c r="H34" s="435" t="s">
        <v>37</v>
      </c>
      <c r="I34" s="435"/>
      <c r="J34" s="435"/>
      <c r="K34" s="435"/>
      <c r="L34" s="435"/>
    </row>
    <row r="35" spans="1:18" ht="17.25" customHeight="1" x14ac:dyDescent="0.45">
      <c r="A35" s="349"/>
      <c r="B35" s="346"/>
      <c r="C35" s="346"/>
      <c r="D35" s="1"/>
      <c r="E35" s="1"/>
      <c r="F35" s="344"/>
      <c r="G35" s="344"/>
      <c r="H35" s="350"/>
      <c r="I35" s="344"/>
      <c r="J35" s="65"/>
      <c r="K35" s="68"/>
      <c r="L35" s="65"/>
    </row>
    <row r="36" spans="1:18" ht="21.75" customHeight="1" x14ac:dyDescent="0.5">
      <c r="A36" s="337" t="s">
        <v>18</v>
      </c>
      <c r="B36" s="337"/>
      <c r="C36" s="337"/>
      <c r="D36" s="337"/>
      <c r="E36" s="337"/>
      <c r="F36" s="337"/>
      <c r="G36" s="337"/>
      <c r="H36" s="337"/>
      <c r="I36" s="337"/>
      <c r="J36" s="160"/>
      <c r="K36" s="160"/>
      <c r="L36" s="160"/>
    </row>
    <row r="37" spans="1:18" ht="21.75" customHeight="1" x14ac:dyDescent="0.5">
      <c r="A37" s="338" t="s">
        <v>104</v>
      </c>
      <c r="B37" s="338"/>
      <c r="C37" s="338"/>
      <c r="D37" s="338"/>
      <c r="E37" s="338"/>
      <c r="F37" s="338"/>
      <c r="G37" s="338"/>
      <c r="H37" s="338"/>
      <c r="I37" s="338"/>
      <c r="J37" s="426"/>
      <c r="K37" s="426"/>
      <c r="L37" s="426"/>
    </row>
    <row r="38" spans="1:18" ht="21.75" customHeight="1" x14ac:dyDescent="0.5">
      <c r="A38" s="339"/>
      <c r="B38" s="340"/>
      <c r="C38" s="340"/>
      <c r="D38" s="340"/>
      <c r="E38" s="340"/>
      <c r="F38" s="340"/>
      <c r="G38" s="340"/>
      <c r="H38" s="340"/>
      <c r="I38" s="340"/>
      <c r="J38" s="425"/>
      <c r="K38" s="425"/>
      <c r="L38" s="425"/>
    </row>
    <row r="39" spans="1:18" s="215" customFormat="1" ht="24" customHeight="1" x14ac:dyDescent="0.45">
      <c r="A39" s="369"/>
      <c r="B39" s="341"/>
      <c r="C39" s="341"/>
      <c r="D39" s="341"/>
      <c r="E39" s="341"/>
      <c r="F39" s="341"/>
      <c r="G39" s="341"/>
      <c r="H39" s="403"/>
      <c r="I39" s="341"/>
      <c r="J39" s="377" t="s">
        <v>184</v>
      </c>
      <c r="L39" s="377" t="s">
        <v>102</v>
      </c>
    </row>
    <row r="40" spans="1:18" s="215" customFormat="1" ht="24" customHeight="1" x14ac:dyDescent="0.45">
      <c r="A40" s="341" t="s">
        <v>137</v>
      </c>
      <c r="B40" s="341"/>
      <c r="C40" s="341"/>
      <c r="D40" s="341"/>
      <c r="E40" s="341"/>
      <c r="F40" s="341"/>
      <c r="G40" s="341"/>
      <c r="H40" s="343" t="s">
        <v>15</v>
      </c>
      <c r="I40" s="341"/>
      <c r="J40" s="377">
        <v>2565</v>
      </c>
      <c r="K40" s="428"/>
      <c r="L40" s="377">
        <v>2564</v>
      </c>
    </row>
    <row r="41" spans="1:18" s="215" customFormat="1" ht="21.75" customHeight="1" x14ac:dyDescent="0.45">
      <c r="A41" s="404"/>
      <c r="B41" s="404"/>
      <c r="C41" s="404"/>
      <c r="D41" s="404"/>
      <c r="E41" s="404"/>
      <c r="F41" s="369"/>
      <c r="G41" s="345"/>
      <c r="H41" s="403"/>
      <c r="I41" s="404"/>
      <c r="J41" s="436" t="s">
        <v>33</v>
      </c>
      <c r="K41" s="436"/>
      <c r="L41" s="436"/>
    </row>
    <row r="42" spans="1:18" s="215" customFormat="1" ht="21.75" customHeight="1" x14ac:dyDescent="0.45">
      <c r="A42" s="354" t="s">
        <v>143</v>
      </c>
      <c r="B42" s="404"/>
      <c r="C42" s="404"/>
      <c r="D42" s="404"/>
      <c r="E42" s="404"/>
      <c r="F42" s="369"/>
      <c r="G42" s="345"/>
      <c r="H42" s="403"/>
      <c r="I42" s="404"/>
      <c r="J42" s="429"/>
      <c r="K42" s="429"/>
      <c r="L42" s="429"/>
    </row>
    <row r="43" spans="1:18" s="215" customFormat="1" ht="21.6" hidden="1" customHeight="1" x14ac:dyDescent="0.45">
      <c r="A43" s="345" t="s">
        <v>152</v>
      </c>
      <c r="B43" s="404"/>
      <c r="C43" s="404"/>
      <c r="D43" s="404"/>
      <c r="E43" s="404"/>
      <c r="F43" s="369"/>
      <c r="G43" s="345"/>
      <c r="H43" s="355" t="s">
        <v>167</v>
      </c>
      <c r="I43" s="404"/>
      <c r="J43" s="285"/>
      <c r="K43" s="405"/>
      <c r="L43" s="285" t="s">
        <v>165</v>
      </c>
    </row>
    <row r="44" spans="1:18" s="215" customFormat="1" ht="21.75" customHeight="1" x14ac:dyDescent="0.45">
      <c r="A44" s="345" t="s">
        <v>153</v>
      </c>
      <c r="B44" s="347"/>
      <c r="C44" s="347"/>
      <c r="D44" s="347"/>
      <c r="E44" s="347"/>
      <c r="F44" s="347"/>
      <c r="G44" s="347"/>
      <c r="H44" s="356">
        <v>15</v>
      </c>
      <c r="I44" s="347"/>
      <c r="J44" s="357">
        <v>177705185</v>
      </c>
      <c r="K44" s="405"/>
      <c r="L44" s="357">
        <v>341313466</v>
      </c>
      <c r="R44" s="261"/>
    </row>
    <row r="45" spans="1:18" s="215" customFormat="1" ht="21.75" customHeight="1" x14ac:dyDescent="0.45">
      <c r="A45" s="345" t="s">
        <v>46</v>
      </c>
      <c r="B45" s="347"/>
      <c r="C45" s="347"/>
      <c r="D45" s="347"/>
      <c r="E45" s="347"/>
      <c r="F45" s="347"/>
      <c r="G45" s="347"/>
      <c r="H45" s="356" t="s">
        <v>219</v>
      </c>
      <c r="I45" s="347"/>
      <c r="J45" s="357">
        <v>2559994100</v>
      </c>
      <c r="K45" s="405"/>
      <c r="L45" s="357">
        <v>3602847100</v>
      </c>
      <c r="R45" s="261"/>
    </row>
    <row r="46" spans="1:18" s="215" customFormat="1" ht="21.75" customHeight="1" x14ac:dyDescent="0.45">
      <c r="A46" s="345" t="s">
        <v>208</v>
      </c>
      <c r="B46" s="347"/>
      <c r="C46" s="347"/>
      <c r="D46" s="347"/>
      <c r="E46" s="347"/>
      <c r="F46" s="347"/>
      <c r="G46" s="347"/>
      <c r="H46" s="356">
        <v>17</v>
      </c>
      <c r="I46" s="347"/>
      <c r="J46" s="357">
        <v>947431540</v>
      </c>
      <c r="K46" s="405"/>
      <c r="L46" s="357">
        <v>1364013052</v>
      </c>
      <c r="P46" s="215" t="s">
        <v>189</v>
      </c>
      <c r="R46" s="261"/>
    </row>
    <row r="47" spans="1:18" s="215" customFormat="1" ht="21.75" customHeight="1" x14ac:dyDescent="0.45">
      <c r="A47" s="345" t="s">
        <v>192</v>
      </c>
      <c r="B47" s="347"/>
      <c r="C47" s="347"/>
      <c r="D47" s="347"/>
      <c r="E47" s="347"/>
      <c r="F47" s="347"/>
      <c r="G47" s="347"/>
      <c r="H47" s="356">
        <v>9</v>
      </c>
      <c r="I47" s="347"/>
      <c r="J47" s="357">
        <v>20631084</v>
      </c>
      <c r="K47" s="405"/>
      <c r="L47" s="406">
        <v>78500847</v>
      </c>
      <c r="R47" s="261"/>
    </row>
    <row r="48" spans="1:18" s="215" customFormat="1" ht="21.75" customHeight="1" x14ac:dyDescent="0.45">
      <c r="A48" s="358" t="s">
        <v>158</v>
      </c>
      <c r="B48" s="360"/>
      <c r="C48" s="358"/>
      <c r="D48" s="360"/>
      <c r="E48" s="360"/>
      <c r="F48" s="360"/>
      <c r="G48" s="360"/>
      <c r="H48" s="343"/>
      <c r="I48" s="360"/>
      <c r="J48" s="357">
        <v>67636247</v>
      </c>
      <c r="K48" s="357"/>
      <c r="L48" s="357">
        <v>195286355</v>
      </c>
      <c r="R48" s="261"/>
    </row>
    <row r="49" spans="1:18" s="215" customFormat="1" ht="21.75" customHeight="1" x14ac:dyDescent="0.45">
      <c r="A49" s="369" t="s">
        <v>136</v>
      </c>
      <c r="B49" s="347"/>
      <c r="C49" s="347"/>
      <c r="D49" s="347"/>
      <c r="E49" s="347"/>
      <c r="F49" s="347"/>
      <c r="G49" s="347"/>
      <c r="H49" s="356">
        <v>18</v>
      </c>
      <c r="I49" s="347"/>
      <c r="J49" s="357">
        <v>1999655</v>
      </c>
      <c r="K49" s="405"/>
      <c r="L49" s="357">
        <v>121904614</v>
      </c>
      <c r="P49" s="215" t="s">
        <v>194</v>
      </c>
      <c r="R49" s="261"/>
    </row>
    <row r="50" spans="1:18" s="215" customFormat="1" ht="21.75" customHeight="1" x14ac:dyDescent="0.45">
      <c r="A50" s="369" t="s">
        <v>193</v>
      </c>
      <c r="B50" s="347"/>
      <c r="C50" s="347"/>
      <c r="D50" s="347"/>
      <c r="E50" s="347"/>
      <c r="F50" s="347"/>
      <c r="G50" s="347"/>
      <c r="H50" s="356" t="s">
        <v>217</v>
      </c>
      <c r="I50" s="347"/>
      <c r="J50" s="357">
        <v>26166913</v>
      </c>
      <c r="K50" s="405"/>
      <c r="L50" s="357">
        <v>33275875</v>
      </c>
      <c r="R50" s="261"/>
    </row>
    <row r="51" spans="1:18" s="215" customFormat="1" ht="21.75" customHeight="1" x14ac:dyDescent="0.45">
      <c r="A51" s="358" t="s">
        <v>154</v>
      </c>
      <c r="B51" s="360"/>
      <c r="C51" s="358"/>
      <c r="D51" s="360"/>
      <c r="E51" s="360"/>
      <c r="F51" s="360"/>
      <c r="G51" s="360"/>
      <c r="H51" s="343">
        <v>19</v>
      </c>
      <c r="I51" s="360"/>
      <c r="J51" s="357">
        <v>305243209</v>
      </c>
      <c r="K51" s="357"/>
      <c r="L51" s="357">
        <v>288898971</v>
      </c>
      <c r="N51" s="407"/>
      <c r="R51" s="261"/>
    </row>
    <row r="52" spans="1:18" s="215" customFormat="1" ht="21.75" customHeight="1" x14ac:dyDescent="0.45">
      <c r="A52" s="358" t="s">
        <v>4</v>
      </c>
      <c r="B52" s="360"/>
      <c r="C52" s="358"/>
      <c r="D52" s="360"/>
      <c r="E52" s="360"/>
      <c r="F52" s="360"/>
      <c r="G52" s="360"/>
      <c r="H52" s="343" t="s">
        <v>220</v>
      </c>
      <c r="I52" s="360"/>
      <c r="J52" s="408">
        <v>269654402</v>
      </c>
      <c r="K52" s="357"/>
      <c r="L52" s="408">
        <v>598568933</v>
      </c>
      <c r="N52" s="409"/>
      <c r="O52" s="409"/>
      <c r="R52" s="261"/>
    </row>
    <row r="53" spans="1:18" s="215" customFormat="1" ht="21.75" customHeight="1" x14ac:dyDescent="0.45">
      <c r="A53" s="351" t="s">
        <v>5</v>
      </c>
      <c r="B53" s="358"/>
      <c r="C53" s="358"/>
      <c r="D53" s="369"/>
      <c r="E53" s="369"/>
      <c r="F53" s="360"/>
      <c r="G53" s="360"/>
      <c r="H53" s="343"/>
      <c r="I53" s="360"/>
      <c r="J53" s="154">
        <f>SUM(J43:J52)</f>
        <v>4376462335</v>
      </c>
      <c r="K53" s="69"/>
      <c r="L53" s="154">
        <f>SUM(L43:L52)</f>
        <v>6624609213</v>
      </c>
      <c r="R53" s="261"/>
    </row>
    <row r="54" spans="1:18" s="215" customFormat="1" ht="21.75" customHeight="1" x14ac:dyDescent="0.45">
      <c r="A54" s="351"/>
      <c r="B54" s="358"/>
      <c r="C54" s="358"/>
      <c r="D54" s="369"/>
      <c r="E54" s="369"/>
      <c r="F54" s="360"/>
      <c r="G54" s="360"/>
      <c r="H54" s="343"/>
      <c r="I54" s="360"/>
      <c r="J54" s="68"/>
      <c r="K54" s="69"/>
      <c r="L54" s="68"/>
    </row>
    <row r="55" spans="1:18" s="215" customFormat="1" ht="21.75" customHeight="1" x14ac:dyDescent="0.45">
      <c r="A55" s="359" t="s">
        <v>138</v>
      </c>
      <c r="B55" s="358"/>
      <c r="C55" s="358"/>
      <c r="D55" s="360"/>
      <c r="E55" s="360"/>
      <c r="F55" s="360"/>
      <c r="G55" s="360"/>
      <c r="H55" s="343"/>
      <c r="I55" s="360"/>
      <c r="J55" s="357"/>
      <c r="K55" s="357"/>
      <c r="L55" s="357"/>
    </row>
    <row r="56" spans="1:18" s="215" customFormat="1" ht="21.75" customHeight="1" x14ac:dyDescent="0.45">
      <c r="A56" s="369" t="s">
        <v>236</v>
      </c>
      <c r="B56" s="369"/>
      <c r="C56" s="369"/>
      <c r="D56" s="360"/>
      <c r="E56" s="360"/>
      <c r="F56" s="360"/>
      <c r="G56" s="360"/>
      <c r="H56" s="343"/>
      <c r="I56" s="360"/>
      <c r="J56" s="430"/>
      <c r="L56" s="430"/>
    </row>
    <row r="57" spans="1:18" s="215" customFormat="1" ht="21.75" customHeight="1" x14ac:dyDescent="0.45">
      <c r="A57" s="369"/>
      <c r="B57" s="369" t="s">
        <v>209</v>
      </c>
      <c r="C57" s="369"/>
      <c r="D57" s="360"/>
      <c r="E57" s="360"/>
      <c r="F57" s="360"/>
      <c r="G57" s="360"/>
      <c r="H57" s="343"/>
      <c r="I57" s="360"/>
      <c r="J57" s="430"/>
      <c r="L57" s="430"/>
    </row>
    <row r="58" spans="1:18" s="215" customFormat="1" ht="21.75" customHeight="1" thickBot="1" x14ac:dyDescent="0.5">
      <c r="A58" s="369"/>
      <c r="B58" s="366" t="s">
        <v>237</v>
      </c>
      <c r="C58" s="369"/>
      <c r="D58" s="360"/>
      <c r="E58" s="360"/>
      <c r="F58" s="360"/>
      <c r="G58" s="360"/>
      <c r="H58" s="343">
        <v>22</v>
      </c>
      <c r="I58" s="360"/>
      <c r="J58" s="410">
        <v>501000000</v>
      </c>
      <c r="K58" s="357"/>
      <c r="L58" s="410">
        <v>501000000</v>
      </c>
    </row>
    <row r="59" spans="1:18" s="215" customFormat="1" ht="21.75" customHeight="1" thickTop="1" x14ac:dyDescent="0.45">
      <c r="A59" s="369"/>
      <c r="B59" s="360" t="s">
        <v>210</v>
      </c>
      <c r="C59" s="369"/>
      <c r="D59" s="360"/>
      <c r="E59" s="360"/>
      <c r="F59" s="360"/>
      <c r="G59" s="360"/>
      <c r="H59" s="343"/>
      <c r="I59" s="360"/>
      <c r="J59" s="430"/>
      <c r="L59" s="430"/>
      <c r="O59" s="411"/>
    </row>
    <row r="60" spans="1:18" s="215" customFormat="1" ht="21.75" customHeight="1" x14ac:dyDescent="0.45">
      <c r="A60" s="369"/>
      <c r="B60" s="366" t="s">
        <v>238</v>
      </c>
      <c r="C60" s="369"/>
      <c r="D60" s="360"/>
      <c r="E60" s="360"/>
      <c r="F60" s="360"/>
      <c r="G60" s="360"/>
      <c r="H60" s="343">
        <v>22</v>
      </c>
      <c r="I60" s="360"/>
      <c r="J60" s="430">
        <v>500009385</v>
      </c>
      <c r="L60" s="430">
        <v>500009385</v>
      </c>
      <c r="N60" s="261"/>
      <c r="O60" s="412"/>
    </row>
    <row r="61" spans="1:18" s="215" customFormat="1" ht="21.75" customHeight="1" x14ac:dyDescent="0.45">
      <c r="A61" s="360" t="s">
        <v>31</v>
      </c>
      <c r="B61" s="360"/>
      <c r="C61" s="413"/>
      <c r="D61" s="369"/>
      <c r="E61" s="369"/>
      <c r="F61" s="360"/>
      <c r="G61" s="360"/>
      <c r="H61" s="343">
        <v>22</v>
      </c>
      <c r="I61" s="360"/>
      <c r="J61" s="430">
        <v>334232400</v>
      </c>
      <c r="K61" s="357"/>
      <c r="L61" s="430">
        <v>334232400</v>
      </c>
      <c r="N61" s="261"/>
      <c r="O61" s="414"/>
    </row>
    <row r="62" spans="1:18" s="215" customFormat="1" ht="21.6" customHeight="1" x14ac:dyDescent="0.45">
      <c r="A62" s="358" t="s">
        <v>47</v>
      </c>
      <c r="B62" s="369"/>
      <c r="C62" s="358"/>
      <c r="D62" s="360"/>
      <c r="E62" s="360"/>
      <c r="F62" s="360"/>
      <c r="G62" s="360"/>
      <c r="H62" s="403"/>
      <c r="I62" s="360"/>
      <c r="J62" s="430"/>
      <c r="K62" s="415"/>
      <c r="L62" s="430"/>
      <c r="N62" s="261">
        <f>+J62-J18</f>
        <v>-10837331091</v>
      </c>
      <c r="O62" s="416"/>
    </row>
    <row r="63" spans="1:18" s="215" customFormat="1" ht="21.6" customHeight="1" x14ac:dyDescent="0.45">
      <c r="A63" s="358"/>
      <c r="B63" s="369" t="s">
        <v>177</v>
      </c>
      <c r="C63" s="358"/>
      <c r="D63" s="360"/>
      <c r="E63" s="360"/>
      <c r="F63" s="360"/>
      <c r="G63" s="360"/>
      <c r="H63" s="343">
        <v>23</v>
      </c>
      <c r="I63" s="360"/>
      <c r="J63" s="415">
        <v>50100000</v>
      </c>
      <c r="K63" s="357"/>
      <c r="L63" s="415">
        <v>50100000</v>
      </c>
      <c r="N63" s="261"/>
    </row>
    <row r="64" spans="1:18" s="215" customFormat="1" ht="21.6" customHeight="1" x14ac:dyDescent="0.45">
      <c r="A64" s="369"/>
      <c r="B64" s="358" t="s">
        <v>176</v>
      </c>
      <c r="C64" s="369"/>
      <c r="D64" s="360"/>
      <c r="E64" s="360"/>
      <c r="F64" s="360"/>
      <c r="G64" s="360"/>
      <c r="H64" s="355"/>
      <c r="I64" s="360"/>
      <c r="J64" s="431">
        <v>5576526971.3400002</v>
      </c>
      <c r="K64" s="357"/>
      <c r="L64" s="431">
        <v>6507921002</v>
      </c>
      <c r="N64" s="261"/>
    </row>
    <row r="65" spans="1:14" s="215" customFormat="1" ht="21.6" customHeight="1" x14ac:dyDescent="0.45">
      <c r="A65" s="351" t="s">
        <v>139</v>
      </c>
      <c r="B65" s="358"/>
      <c r="C65" s="358"/>
      <c r="D65" s="369"/>
      <c r="E65" s="369"/>
      <c r="F65" s="360"/>
      <c r="G65" s="360"/>
      <c r="H65" s="417"/>
      <c r="I65" s="360"/>
      <c r="J65" s="68">
        <f>SUM(J60:J64)</f>
        <v>6460868756.3400002</v>
      </c>
      <c r="K65" s="68"/>
      <c r="L65" s="68">
        <f>SUM(L60:L64)</f>
        <v>7392262787</v>
      </c>
      <c r="N65" s="261"/>
    </row>
    <row r="66" spans="1:14" s="215" customFormat="1" ht="25.5" customHeight="1" thickBot="1" x14ac:dyDescent="0.5">
      <c r="A66" s="351" t="s">
        <v>140</v>
      </c>
      <c r="B66" s="358"/>
      <c r="C66" s="358"/>
      <c r="D66" s="369"/>
      <c r="E66" s="369"/>
      <c r="F66" s="360"/>
      <c r="G66" s="360"/>
      <c r="H66" s="417"/>
      <c r="I66" s="360"/>
      <c r="J66" s="71">
        <f>+J53+J65</f>
        <v>10837331091.34</v>
      </c>
      <c r="K66" s="68"/>
      <c r="L66" s="71">
        <f>+L53+L65</f>
        <v>14016872000</v>
      </c>
    </row>
    <row r="67" spans="1:14" ht="25.5" customHeight="1" thickTop="1" x14ac:dyDescent="0.45">
      <c r="A67" s="351"/>
      <c r="B67" s="352"/>
      <c r="C67" s="352"/>
      <c r="D67" s="1"/>
      <c r="E67" s="1"/>
      <c r="F67" s="353"/>
      <c r="G67" s="353"/>
      <c r="H67" s="350"/>
      <c r="I67" s="353"/>
      <c r="J67" s="69"/>
      <c r="K67" s="68"/>
      <c r="L67" s="69"/>
    </row>
    <row r="68" spans="1:14" ht="16.899999999999999" customHeight="1" x14ac:dyDescent="0.45">
      <c r="A68" s="351"/>
      <c r="B68" s="352"/>
      <c r="C68" s="352"/>
      <c r="D68" s="1"/>
      <c r="E68" s="1"/>
      <c r="F68" s="353"/>
      <c r="G68" s="353"/>
      <c r="H68" s="350"/>
      <c r="I68" s="353"/>
      <c r="J68" s="78"/>
      <c r="K68" s="40"/>
      <c r="L68" s="40"/>
    </row>
    <row r="69" spans="1:14" ht="21.75" customHeight="1" x14ac:dyDescent="0.45">
      <c r="A69" s="351"/>
      <c r="B69" s="352"/>
      <c r="C69" s="352"/>
      <c r="D69" s="1"/>
      <c r="E69" s="1"/>
      <c r="F69" s="353"/>
      <c r="G69" s="353"/>
      <c r="H69" s="350"/>
      <c r="I69" s="353"/>
      <c r="J69" s="40"/>
      <c r="K69" s="40"/>
      <c r="L69" s="40"/>
    </row>
    <row r="70" spans="1:14" ht="21.75" customHeight="1" x14ac:dyDescent="0.45">
      <c r="A70" s="351"/>
      <c r="B70" s="352"/>
      <c r="C70" s="352"/>
      <c r="D70" s="1"/>
      <c r="E70" s="353" t="s">
        <v>36</v>
      </c>
      <c r="F70" s="1"/>
      <c r="G70" s="353"/>
      <c r="H70" s="435" t="s">
        <v>37</v>
      </c>
      <c r="I70" s="435"/>
      <c r="J70" s="435"/>
      <c r="K70" s="435"/>
      <c r="L70" s="435"/>
    </row>
    <row r="71" spans="1:14" ht="21.75" customHeight="1" x14ac:dyDescent="0.45">
      <c r="A71" s="353"/>
      <c r="B71" s="361"/>
      <c r="C71" s="361"/>
      <c r="D71" s="1"/>
      <c r="E71" s="353"/>
      <c r="F71" s="1"/>
      <c r="G71" s="353"/>
      <c r="H71" s="435"/>
      <c r="I71" s="435"/>
      <c r="J71" s="435"/>
      <c r="K71" s="435"/>
      <c r="L71" s="435"/>
    </row>
  </sheetData>
  <mergeCells count="5">
    <mergeCell ref="J6:L6"/>
    <mergeCell ref="J41:L41"/>
    <mergeCell ref="H34:L34"/>
    <mergeCell ref="H70:L70"/>
    <mergeCell ref="H71:L71"/>
  </mergeCells>
  <phoneticPr fontId="0" type="noConversion"/>
  <dataValidations count="1">
    <dataValidation type="textLength" errorStyle="information" allowBlank="1" showInputMessage="1" showErrorMessage="1" error="XLBVal:6=892061612.13_x000d__x000a_" sqref="L7 J7:J17" xr:uid="{00000000-0002-0000-0000-000000000000}">
      <formula1>0</formula1>
      <formula2>300</formula2>
    </dataValidation>
  </dataValidations>
  <pageMargins left="0.7" right="0.7" top="0.48" bottom="0.5" header="0.5" footer="0.5"/>
  <pageSetup paperSize="9" scale="96" firstPageNumber="4" orientation="portrait" useFirstPageNumber="1" r:id="rId1"/>
  <headerFooter>
    <oddFooter>&amp;Lหมายเหตุประกอบงบการเงินเป็นส่วนหนึ่งของงบการเงินระหว่างกาลนี้
&amp;C&amp;P</oddFooter>
  </headerFooter>
  <rowBreaks count="1" manualBreakCount="1">
    <brk id="35" max="11" man="1"/>
  </rowBreaks>
  <customProperties>
    <customPr name="QAA_DRILLPATH_NOD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34F15-A887-4E77-8477-2CF0AEC71406}">
  <dimension ref="A1:AB40"/>
  <sheetViews>
    <sheetView showGridLines="0" view="pageBreakPreview" zoomScaleNormal="100" zoomScaleSheetLayoutView="100" workbookViewId="0">
      <selection activeCell="U14" sqref="U14"/>
    </sheetView>
  </sheetViews>
  <sheetFormatPr defaultColWidth="9.140625" defaultRowHeight="21.75" customHeight="1" x14ac:dyDescent="0.45"/>
  <cols>
    <col min="1" max="3" width="2.7109375" style="16" customWidth="1"/>
    <col min="4" max="4" width="8.7109375" style="16" customWidth="1"/>
    <col min="5" max="5" width="6.42578125" style="16" customWidth="1"/>
    <col min="6" max="6" width="9.85546875" style="16" customWidth="1"/>
    <col min="7" max="7" width="24.7109375" style="16" customWidth="1"/>
    <col min="8" max="8" width="10.140625" style="38" customWidth="1"/>
    <col min="9" max="9" width="1.5703125" style="16" customWidth="1"/>
    <col min="10" max="10" width="15.5703125" style="16" customWidth="1"/>
    <col min="11" max="11" width="1.5703125" style="16" customWidth="1"/>
    <col min="12" max="12" width="15.5703125" style="16" customWidth="1"/>
    <col min="13" max="13" width="1.42578125" style="16" customWidth="1"/>
    <col min="14" max="14" width="18.85546875" style="16" hidden="1" customWidth="1"/>
    <col min="15" max="15" width="16.5703125" style="16" hidden="1" customWidth="1"/>
    <col min="16" max="16" width="12.7109375" style="16" hidden="1" customWidth="1"/>
    <col min="17" max="17" width="9.140625" style="16"/>
    <col min="18" max="18" width="16.5703125" style="16" bestFit="1" customWidth="1"/>
    <col min="19" max="16384" width="9.140625" style="16"/>
  </cols>
  <sheetData>
    <row r="1" spans="1:19" ht="21.75" customHeight="1" x14ac:dyDescent="0.5">
      <c r="A1" s="160" t="s">
        <v>18</v>
      </c>
      <c r="B1" s="160"/>
      <c r="C1" s="160"/>
      <c r="D1" s="160"/>
      <c r="E1" s="160"/>
      <c r="F1" s="160"/>
      <c r="G1" s="160"/>
      <c r="H1" s="29"/>
      <c r="I1" s="160"/>
      <c r="J1" s="438"/>
      <c r="K1" s="438"/>
      <c r="L1" s="438"/>
    </row>
    <row r="2" spans="1:19" ht="21.75" customHeight="1" x14ac:dyDescent="0.5">
      <c r="A2" s="437" t="s">
        <v>106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9" ht="3.6" customHeight="1" x14ac:dyDescent="0.5">
      <c r="A3" s="200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9" ht="21" customHeight="1" x14ac:dyDescent="0.45">
      <c r="A4" s="384"/>
      <c r="B4" s="386"/>
      <c r="C4" s="386"/>
      <c r="D4" s="386"/>
      <c r="E4" s="386"/>
      <c r="F4" s="386"/>
      <c r="G4" s="386"/>
      <c r="H4" s="386"/>
      <c r="I4" s="386"/>
      <c r="J4" s="439" t="s">
        <v>185</v>
      </c>
      <c r="K4" s="439"/>
      <c r="L4" s="439"/>
    </row>
    <row r="5" spans="1:19" ht="21" customHeight="1" x14ac:dyDescent="0.45">
      <c r="A5" s="2"/>
      <c r="B5" s="2"/>
      <c r="C5" s="2"/>
      <c r="D5" s="2"/>
      <c r="E5" s="2"/>
      <c r="F5" s="2"/>
      <c r="G5" s="2"/>
      <c r="H5" s="389"/>
      <c r="I5" s="2"/>
      <c r="J5" s="439" t="s">
        <v>184</v>
      </c>
      <c r="K5" s="439"/>
      <c r="L5" s="439"/>
    </row>
    <row r="6" spans="1:19" ht="21.75" customHeight="1" x14ac:dyDescent="0.45">
      <c r="A6" s="17"/>
      <c r="B6" s="17"/>
      <c r="C6" s="17"/>
      <c r="D6" s="17"/>
      <c r="E6" s="17"/>
      <c r="G6" s="17"/>
      <c r="H6" s="39" t="s">
        <v>15</v>
      </c>
      <c r="I6" s="17"/>
      <c r="J6" s="18">
        <v>2565</v>
      </c>
      <c r="K6" s="427"/>
      <c r="L6" s="18">
        <v>2564</v>
      </c>
      <c r="M6" s="18"/>
      <c r="N6" s="18"/>
    </row>
    <row r="7" spans="1:19" ht="19.5" customHeight="1" x14ac:dyDescent="0.45">
      <c r="A7" s="9"/>
      <c r="B7" s="9"/>
      <c r="C7" s="9"/>
      <c r="D7" s="9"/>
      <c r="E7" s="9"/>
      <c r="F7" s="9"/>
      <c r="G7" s="9"/>
      <c r="H7" s="27"/>
      <c r="I7" s="9"/>
      <c r="J7" s="440" t="s">
        <v>33</v>
      </c>
      <c r="K7" s="440"/>
      <c r="L7" s="440"/>
    </row>
    <row r="8" spans="1:19" ht="21.75" customHeight="1" x14ac:dyDescent="0.45">
      <c r="A8" s="45" t="s">
        <v>25</v>
      </c>
      <c r="B8" s="9"/>
      <c r="C8" s="9"/>
      <c r="D8" s="9"/>
      <c r="E8" s="9"/>
      <c r="F8" s="9"/>
      <c r="G8" s="9"/>
      <c r="H8" s="39"/>
      <c r="I8" s="9"/>
      <c r="J8" s="8"/>
      <c r="K8" s="8"/>
      <c r="L8" s="8"/>
      <c r="R8" s="88"/>
    </row>
    <row r="9" spans="1:19" ht="21.75" customHeight="1" x14ac:dyDescent="0.45">
      <c r="A9" s="4" t="s">
        <v>159</v>
      </c>
      <c r="B9" s="9"/>
      <c r="C9" s="9"/>
      <c r="D9" s="9"/>
      <c r="E9" s="9"/>
      <c r="F9" s="9"/>
      <c r="G9" s="9"/>
      <c r="H9" s="63" t="s">
        <v>221</v>
      </c>
      <c r="I9" s="9"/>
      <c r="J9" s="432">
        <v>1230629137</v>
      </c>
      <c r="K9" s="8"/>
      <c r="L9" s="432">
        <v>1555145339</v>
      </c>
      <c r="N9" s="284">
        <f>SUM([2]PL!$I$10:$I$11)</f>
        <v>877574904.13999987</v>
      </c>
      <c r="O9" s="283">
        <f>N9-J9</f>
        <v>-353054232.86000013</v>
      </c>
      <c r="R9" s="88"/>
    </row>
    <row r="10" spans="1:19" ht="21.75" customHeight="1" x14ac:dyDescent="0.45">
      <c r="A10" s="9" t="s">
        <v>160</v>
      </c>
      <c r="C10" s="9"/>
      <c r="D10" s="9"/>
      <c r="E10" s="9"/>
      <c r="F10" s="9"/>
      <c r="G10" s="9"/>
      <c r="H10" s="318" t="s">
        <v>222</v>
      </c>
      <c r="I10" s="9"/>
      <c r="J10" s="432">
        <v>42529140.279999994</v>
      </c>
      <c r="K10" s="35"/>
      <c r="L10" s="432">
        <v>196660768.81</v>
      </c>
      <c r="N10" s="86">
        <f>[2]PL!$I$12</f>
        <v>18835188.399999999</v>
      </c>
      <c r="O10" s="283">
        <f>N10-J10</f>
        <v>-23693951.879999995</v>
      </c>
      <c r="P10" s="9"/>
      <c r="Q10" s="9"/>
      <c r="R10" s="88"/>
      <c r="S10" s="9"/>
    </row>
    <row r="11" spans="1:19" ht="21.75" customHeight="1" x14ac:dyDescent="0.45">
      <c r="A11" s="9" t="s">
        <v>195</v>
      </c>
      <c r="C11" s="9"/>
      <c r="D11" s="9"/>
      <c r="E11" s="9"/>
      <c r="F11" s="9"/>
      <c r="G11" s="9"/>
      <c r="H11" s="175"/>
      <c r="I11" s="9"/>
      <c r="J11" s="432">
        <v>96070055</v>
      </c>
      <c r="K11" s="35"/>
      <c r="L11" s="432">
        <v>81651735</v>
      </c>
      <c r="N11" s="86">
        <f>[2]PL!$I$16</f>
        <v>84607077.569999993</v>
      </c>
      <c r="O11" s="283">
        <f>N11-J11</f>
        <v>-11462977.430000007</v>
      </c>
      <c r="P11" s="9"/>
      <c r="Q11" s="9"/>
      <c r="R11" s="88"/>
      <c r="S11" s="9"/>
    </row>
    <row r="12" spans="1:19" ht="21.75" customHeight="1" x14ac:dyDescent="0.45">
      <c r="A12" s="9" t="s">
        <v>206</v>
      </c>
      <c r="C12" s="9"/>
      <c r="D12" s="9"/>
      <c r="E12" s="9"/>
      <c r="F12" s="9"/>
      <c r="G12" s="9"/>
      <c r="H12" s="175" t="s">
        <v>223</v>
      </c>
      <c r="I12" s="9"/>
      <c r="J12" s="432">
        <v>80443497.059999973</v>
      </c>
      <c r="K12" s="35"/>
      <c r="L12" s="432">
        <v>87998019.909999996</v>
      </c>
      <c r="N12" s="86">
        <f>SUM([2]PL!$I$13:$I$15)</f>
        <v>240240943.34000003</v>
      </c>
      <c r="O12" s="283">
        <f>N12-J12</f>
        <v>159797446.28000006</v>
      </c>
      <c r="P12" s="9"/>
      <c r="Q12" s="9"/>
      <c r="R12" s="88"/>
      <c r="S12" s="9"/>
    </row>
    <row r="13" spans="1:19" ht="21.75" customHeight="1" x14ac:dyDescent="0.45">
      <c r="A13" s="9" t="s">
        <v>9</v>
      </c>
      <c r="C13" s="9"/>
      <c r="D13" s="9"/>
      <c r="E13" s="9"/>
      <c r="F13" s="9"/>
      <c r="G13" s="9"/>
      <c r="H13" s="175">
        <v>31</v>
      </c>
      <c r="I13" s="9"/>
      <c r="J13" s="433">
        <v>8413158</v>
      </c>
      <c r="K13" s="35"/>
      <c r="L13" s="433">
        <v>10119261</v>
      </c>
      <c r="N13" s="86">
        <f>[2]PL!$I$17</f>
        <v>6699190.71</v>
      </c>
      <c r="O13" s="283">
        <f>N13-J13</f>
        <v>-1713967.29</v>
      </c>
      <c r="P13" s="9"/>
      <c r="Q13" s="9"/>
      <c r="R13" s="88"/>
      <c r="S13" s="9"/>
    </row>
    <row r="14" spans="1:19" ht="21.75" customHeight="1" x14ac:dyDescent="0.45">
      <c r="A14" s="26" t="s">
        <v>26</v>
      </c>
      <c r="B14" s="9"/>
      <c r="C14" s="9"/>
      <c r="F14" s="9"/>
      <c r="G14" s="9"/>
      <c r="H14" s="175"/>
      <c r="I14" s="9"/>
      <c r="J14" s="154">
        <f>SUM(J9:J13)</f>
        <v>1458084987.3399999</v>
      </c>
      <c r="K14" s="40"/>
      <c r="L14" s="154">
        <f>SUM(L9:L13)</f>
        <v>1931575123.72</v>
      </c>
      <c r="N14" s="148"/>
      <c r="R14" s="88"/>
    </row>
    <row r="15" spans="1:19" ht="4.5" customHeight="1" x14ac:dyDescent="0.45">
      <c r="A15" s="26"/>
      <c r="B15" s="9"/>
      <c r="C15" s="9"/>
      <c r="F15" s="9"/>
      <c r="G15" s="9"/>
      <c r="H15" s="175"/>
      <c r="I15" s="9"/>
      <c r="J15" s="44"/>
      <c r="K15" s="40"/>
      <c r="L15" s="44"/>
      <c r="R15" s="88"/>
    </row>
    <row r="16" spans="1:19" ht="21.75" customHeight="1" x14ac:dyDescent="0.45">
      <c r="A16" s="45" t="s">
        <v>27</v>
      </c>
      <c r="B16" s="4"/>
      <c r="C16" s="4"/>
      <c r="D16" s="4"/>
      <c r="E16" s="4"/>
      <c r="F16" s="4"/>
      <c r="G16" s="4"/>
      <c r="H16" s="175"/>
      <c r="I16" s="4"/>
      <c r="J16" s="33"/>
      <c r="K16" s="35"/>
      <c r="L16" s="33"/>
      <c r="R16" s="88"/>
    </row>
    <row r="17" spans="1:28" ht="21.75" customHeight="1" x14ac:dyDescent="0.45">
      <c r="A17" s="4" t="s">
        <v>155</v>
      </c>
      <c r="B17" s="4"/>
      <c r="C17" s="4"/>
      <c r="D17" s="4"/>
      <c r="E17" s="4"/>
      <c r="F17" s="4"/>
      <c r="G17" s="4"/>
      <c r="H17" s="175" t="s">
        <v>224</v>
      </c>
      <c r="I17" s="4"/>
      <c r="J17" s="37">
        <v>468404798</v>
      </c>
      <c r="K17" s="35"/>
      <c r="L17" s="37">
        <v>478247361</v>
      </c>
      <c r="N17" s="283">
        <f>[2]PL!$I$25</f>
        <v>398948810.57999998</v>
      </c>
      <c r="O17" s="283">
        <f>N17-J17</f>
        <v>-69455987.420000017</v>
      </c>
      <c r="R17" s="88"/>
    </row>
    <row r="18" spans="1:28" ht="21.75" customHeight="1" x14ac:dyDescent="0.45">
      <c r="A18" s="4" t="s">
        <v>28</v>
      </c>
      <c r="B18" s="4"/>
      <c r="C18" s="4"/>
      <c r="D18" s="4"/>
      <c r="E18" s="4"/>
      <c r="F18" s="4"/>
      <c r="G18" s="4"/>
      <c r="H18" s="175">
        <v>31</v>
      </c>
      <c r="I18" s="4"/>
      <c r="J18" s="37">
        <v>103417093</v>
      </c>
      <c r="K18" s="35"/>
      <c r="L18" s="37">
        <v>119741942</v>
      </c>
      <c r="N18" s="283">
        <f>[2]PL!$I$23</f>
        <v>77270715.349999994</v>
      </c>
      <c r="O18" s="283">
        <f>N18-J18</f>
        <v>-26146377.650000006</v>
      </c>
      <c r="R18" s="88"/>
    </row>
    <row r="19" spans="1:28" ht="21.75" customHeight="1" x14ac:dyDescent="0.45">
      <c r="A19" s="4" t="s">
        <v>197</v>
      </c>
      <c r="B19" s="4"/>
      <c r="C19" s="4"/>
      <c r="D19" s="4"/>
      <c r="E19" s="4"/>
      <c r="F19" s="4"/>
      <c r="G19" s="4"/>
      <c r="H19" s="175">
        <v>31</v>
      </c>
      <c r="I19" s="4"/>
      <c r="J19" s="37">
        <v>40098405</v>
      </c>
      <c r="K19" s="35"/>
      <c r="L19" s="37">
        <v>40716773</v>
      </c>
      <c r="N19" s="283">
        <f>[2]PL!$I$22</f>
        <v>56768469.479999989</v>
      </c>
      <c r="O19" s="283">
        <f>N19-J19</f>
        <v>16670064.479999989</v>
      </c>
      <c r="P19" s="16" t="s">
        <v>189</v>
      </c>
      <c r="R19" s="88"/>
    </row>
    <row r="20" spans="1:28" ht="21.75" customHeight="1" x14ac:dyDescent="0.45">
      <c r="A20" s="4" t="s">
        <v>226</v>
      </c>
      <c r="B20" s="4"/>
      <c r="C20" s="4"/>
      <c r="D20" s="4"/>
      <c r="E20" s="4"/>
      <c r="F20" s="4"/>
      <c r="G20" s="4"/>
      <c r="H20" s="175">
        <v>38</v>
      </c>
      <c r="I20" s="4"/>
      <c r="J20" s="37">
        <v>-2584793</v>
      </c>
      <c r="K20" s="35"/>
      <c r="L20" s="37">
        <v>-840867</v>
      </c>
      <c r="N20" s="283"/>
      <c r="O20" s="283"/>
      <c r="P20" s="9" t="s">
        <v>196</v>
      </c>
      <c r="R20" s="88"/>
    </row>
    <row r="21" spans="1:28" ht="21.75" customHeight="1" x14ac:dyDescent="0.45">
      <c r="A21" s="4" t="s">
        <v>17</v>
      </c>
      <c r="C21" s="4"/>
      <c r="D21" s="4"/>
      <c r="E21" s="4"/>
      <c r="F21" s="4"/>
      <c r="G21" s="4"/>
      <c r="H21" s="175" t="s">
        <v>225</v>
      </c>
      <c r="I21" s="4"/>
      <c r="J21" s="320">
        <v>148015143</v>
      </c>
      <c r="K21" s="35"/>
      <c r="L21" s="320">
        <v>149215074</v>
      </c>
      <c r="N21" s="283" t="e">
        <f>SUM([2]PL!$I$29,[2]PL!$I$27,[2]PL!$I$26)-#REF!</f>
        <v>#REF!</v>
      </c>
      <c r="O21" s="283" t="e">
        <f>N21-J21</f>
        <v>#REF!</v>
      </c>
      <c r="R21" s="88"/>
    </row>
    <row r="22" spans="1:28" ht="21.75" customHeight="1" x14ac:dyDescent="0.45">
      <c r="A22" s="26" t="s">
        <v>29</v>
      </c>
      <c r="B22" s="9"/>
      <c r="C22" s="9"/>
      <c r="F22" s="9"/>
      <c r="G22" s="9"/>
      <c r="H22" s="175"/>
      <c r="I22" s="9"/>
      <c r="J22" s="321">
        <f>SUM(J17:J21)</f>
        <v>757350646</v>
      </c>
      <c r="K22" s="40"/>
      <c r="L22" s="321">
        <f>SUM(L17:L21)</f>
        <v>787080283</v>
      </c>
      <c r="R22" s="88"/>
    </row>
    <row r="23" spans="1:28" ht="21.75" customHeight="1" x14ac:dyDescent="0.45">
      <c r="A23" s="26" t="s">
        <v>97</v>
      </c>
      <c r="B23" s="9"/>
      <c r="C23" s="9"/>
      <c r="F23" s="9"/>
      <c r="G23" s="9"/>
      <c r="H23" s="175"/>
      <c r="I23" s="9"/>
      <c r="J23" s="69">
        <f>+J14-J22</f>
        <v>700734341.33999991</v>
      </c>
      <c r="K23" s="44"/>
      <c r="L23" s="69">
        <f>+L14-L22</f>
        <v>1144494840.72</v>
      </c>
      <c r="P23" s="32"/>
      <c r="R23" s="88"/>
    </row>
    <row r="24" spans="1:28" ht="21.75" customHeight="1" x14ac:dyDescent="0.45">
      <c r="A24" s="9" t="s">
        <v>98</v>
      </c>
      <c r="B24" s="9"/>
      <c r="C24" s="9"/>
      <c r="F24" s="9"/>
      <c r="G24" s="9"/>
      <c r="H24" s="175">
        <v>28</v>
      </c>
      <c r="I24" s="9"/>
      <c r="J24" s="401">
        <v>132100217</v>
      </c>
      <c r="K24" s="33"/>
      <c r="L24" s="401">
        <v>226036113</v>
      </c>
      <c r="P24" s="32"/>
      <c r="R24" s="88"/>
    </row>
    <row r="25" spans="1:28" ht="21.75" customHeight="1" x14ac:dyDescent="0.45">
      <c r="A25" s="26" t="s">
        <v>203</v>
      </c>
      <c r="B25" s="9"/>
      <c r="C25" s="9"/>
      <c r="F25" s="9"/>
      <c r="G25" s="9"/>
      <c r="H25" s="319"/>
      <c r="I25" s="9"/>
      <c r="J25" s="321">
        <f>+J23-J24</f>
        <v>568634124.33999991</v>
      </c>
      <c r="K25" s="44"/>
      <c r="L25" s="321">
        <f>+L23-L24</f>
        <v>918458727.72000003</v>
      </c>
      <c r="R25" s="88"/>
    </row>
    <row r="26" spans="1:28" ht="21.75" customHeight="1" x14ac:dyDescent="0.45">
      <c r="A26" s="345" t="s">
        <v>251</v>
      </c>
      <c r="B26" s="9"/>
      <c r="C26" s="9"/>
      <c r="F26" s="9"/>
      <c r="G26" s="9"/>
      <c r="H26" s="319"/>
      <c r="I26" s="9"/>
      <c r="J26" s="321">
        <v>0</v>
      </c>
      <c r="K26" s="44"/>
      <c r="L26" s="321">
        <v>0</v>
      </c>
      <c r="R26" s="88"/>
    </row>
    <row r="27" spans="1:28" ht="21.75" customHeight="1" thickBot="1" x14ac:dyDescent="0.5">
      <c r="A27" s="434" t="s">
        <v>252</v>
      </c>
      <c r="B27" s="9"/>
      <c r="C27" s="9"/>
      <c r="F27" s="9"/>
      <c r="G27" s="9"/>
      <c r="H27" s="319"/>
      <c r="I27" s="9"/>
      <c r="J27" s="71">
        <f>J25</f>
        <v>568634124.33999991</v>
      </c>
      <c r="K27" s="44"/>
      <c r="L27" s="71">
        <f>L25</f>
        <v>918458727.72000003</v>
      </c>
      <c r="R27" s="88"/>
    </row>
    <row r="28" spans="1:28" ht="22.5" customHeight="1" thickTop="1" thickBot="1" x14ac:dyDescent="0.5">
      <c r="A28" s="22" t="s">
        <v>108</v>
      </c>
      <c r="B28" s="9"/>
      <c r="C28" s="9"/>
      <c r="D28" s="9"/>
      <c r="E28" s="9"/>
      <c r="F28" s="9"/>
      <c r="G28" s="9"/>
      <c r="H28" s="175">
        <v>29</v>
      </c>
      <c r="I28" s="26"/>
      <c r="J28" s="264">
        <f>J25/100001877</f>
        <v>5.6862345127781939</v>
      </c>
      <c r="K28" s="265"/>
      <c r="L28" s="264">
        <f>L25/100001877</f>
        <v>9.1844148857325951</v>
      </c>
    </row>
    <row r="29" spans="1:28" ht="4.5" customHeight="1" thickTop="1" x14ac:dyDescent="0.45">
      <c r="A29" s="9"/>
      <c r="C29" s="9"/>
      <c r="D29" s="9"/>
      <c r="E29" s="9"/>
      <c r="F29" s="9"/>
      <c r="G29" s="9"/>
      <c r="H29" s="175"/>
      <c r="I29" s="9"/>
      <c r="J29" s="286"/>
      <c r="K29" s="286"/>
      <c r="L29" s="286"/>
      <c r="Q29" s="2"/>
      <c r="R29" s="2"/>
      <c r="S29" s="2"/>
      <c r="T29" s="2"/>
      <c r="U29" s="2"/>
      <c r="V29" s="2"/>
      <c r="W29" s="2"/>
      <c r="X29" s="389"/>
      <c r="Y29" s="2"/>
      <c r="Z29" s="402"/>
      <c r="AA29" s="402"/>
      <c r="AB29" s="402"/>
    </row>
    <row r="30" spans="1:28" ht="22.5" customHeight="1" x14ac:dyDescent="0.45">
      <c r="A30" s="26"/>
      <c r="B30" s="9"/>
      <c r="C30" s="9"/>
      <c r="F30" s="9"/>
      <c r="G30" s="9"/>
      <c r="H30" s="39"/>
      <c r="I30" s="370"/>
      <c r="J30" s="371"/>
      <c r="K30" s="44"/>
      <c r="L30" s="371"/>
    </row>
    <row r="31" spans="1:28" ht="4.1500000000000004" customHeight="1" x14ac:dyDescent="0.45">
      <c r="A31" s="26"/>
      <c r="B31" s="9"/>
      <c r="C31" s="9"/>
      <c r="F31" s="9"/>
      <c r="G31" s="9"/>
      <c r="H31" s="39"/>
      <c r="I31" s="370"/>
      <c r="J31" s="44"/>
      <c r="K31" s="44"/>
      <c r="L31" s="44"/>
    </row>
    <row r="32" spans="1:28" ht="22.9" customHeight="1" x14ac:dyDescent="0.45">
      <c r="A32" s="22"/>
      <c r="B32" s="9"/>
      <c r="C32" s="9"/>
      <c r="D32" s="9"/>
      <c r="E32" s="9"/>
      <c r="F32" s="9"/>
      <c r="G32" s="9"/>
      <c r="H32" s="39"/>
      <c r="I32" s="372"/>
      <c r="J32" s="367"/>
      <c r="K32" s="373"/>
      <c r="L32" s="367"/>
      <c r="N32" s="280"/>
    </row>
    <row r="33" spans="1:18" ht="2.4500000000000002" customHeight="1" x14ac:dyDescent="0.45">
      <c r="A33" s="26"/>
      <c r="B33" s="9"/>
      <c r="C33" s="9"/>
      <c r="F33" s="9"/>
      <c r="G33" s="9"/>
      <c r="H33" s="175"/>
      <c r="I33" s="9"/>
      <c r="J33" s="44"/>
      <c r="K33" s="44"/>
      <c r="L33" s="44"/>
      <c r="R33" s="88"/>
    </row>
    <row r="34" spans="1:18" s="215" customFormat="1" ht="22.9" customHeight="1" x14ac:dyDescent="0.45">
      <c r="A34" s="314"/>
      <c r="B34" s="172"/>
      <c r="C34" s="9"/>
      <c r="E34" s="9"/>
      <c r="F34" s="9"/>
      <c r="G34" s="9"/>
      <c r="H34" s="175"/>
      <c r="I34" s="9"/>
    </row>
    <row r="35" spans="1:18" ht="4.5" customHeight="1" x14ac:dyDescent="0.45">
      <c r="A35" s="26"/>
      <c r="B35" s="9"/>
      <c r="C35" s="9"/>
      <c r="F35" s="9"/>
      <c r="G35" s="9"/>
      <c r="H35" s="175"/>
      <c r="I35" s="9"/>
      <c r="J35" s="44"/>
      <c r="K35" s="44"/>
      <c r="L35" s="44"/>
      <c r="R35" s="88"/>
    </row>
    <row r="36" spans="1:18" s="215" customFormat="1" ht="22.9" customHeight="1" x14ac:dyDescent="0.45">
      <c r="A36" s="314"/>
      <c r="B36" s="314"/>
      <c r="C36" s="172"/>
      <c r="E36" s="9"/>
      <c r="F36" s="9"/>
      <c r="G36" s="9"/>
      <c r="H36" s="175"/>
      <c r="I36" s="9"/>
      <c r="J36" s="286"/>
      <c r="K36" s="286"/>
      <c r="L36" s="286"/>
    </row>
    <row r="37" spans="1:18" s="215" customFormat="1" ht="22.9" customHeight="1" x14ac:dyDescent="0.45">
      <c r="A37" s="314"/>
      <c r="B37" s="314"/>
      <c r="C37" s="172"/>
      <c r="E37" s="9"/>
      <c r="F37" s="9"/>
      <c r="G37" s="9"/>
      <c r="H37" s="175"/>
      <c r="I37" s="9"/>
      <c r="J37" s="286"/>
      <c r="K37" s="286"/>
      <c r="L37" s="286"/>
    </row>
    <row r="38" spans="1:18" s="215" customFormat="1" ht="22.9" customHeight="1" x14ac:dyDescent="0.45">
      <c r="A38" s="314"/>
      <c r="B38" s="314"/>
      <c r="C38" s="172"/>
      <c r="E38" s="9"/>
      <c r="F38" s="9"/>
      <c r="G38" s="9"/>
      <c r="H38" s="175"/>
      <c r="I38" s="9"/>
      <c r="J38" s="286"/>
      <c r="K38" s="286"/>
      <c r="L38" s="286"/>
    </row>
    <row r="39" spans="1:18" ht="23.45" customHeight="1" x14ac:dyDescent="0.45">
      <c r="A39" s="25"/>
      <c r="B39" s="12"/>
      <c r="C39" s="12"/>
      <c r="E39" s="14" t="s">
        <v>36</v>
      </c>
      <c r="G39" s="14"/>
      <c r="H39" s="435" t="s">
        <v>37</v>
      </c>
      <c r="I39" s="435"/>
      <c r="J39" s="435"/>
      <c r="K39" s="435"/>
      <c r="L39" s="435"/>
    </row>
    <row r="40" spans="1:18" s="215" customFormat="1" ht="22.5" customHeight="1" x14ac:dyDescent="0.45">
      <c r="A40" s="314"/>
      <c r="B40" s="314"/>
      <c r="C40" s="172"/>
      <c r="E40" s="9"/>
      <c r="F40" s="9"/>
      <c r="I40" s="9"/>
      <c r="J40" s="286"/>
      <c r="K40" s="286"/>
      <c r="L40" s="286"/>
    </row>
  </sheetData>
  <mergeCells count="6">
    <mergeCell ref="A2:L2"/>
    <mergeCell ref="J4:L4"/>
    <mergeCell ref="J5:L5"/>
    <mergeCell ref="J7:L7"/>
    <mergeCell ref="H39:L39"/>
    <mergeCell ref="J1:L1"/>
  </mergeCells>
  <pageMargins left="0.7" right="0.7" top="0.48" bottom="0.5" header="0.5" footer="0.5"/>
  <pageSetup paperSize="9" scale="96" firstPageNumber="4" orientation="portrait" useFirstPageNumber="1" r:id="rId1"/>
  <headerFooter>
    <oddFooter>&amp;Lหมายเหตุประกอบงบการเงินเป็นส่วนหนึ่งของงบการเงินระหว่างกาลนี้
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M82"/>
  <sheetViews>
    <sheetView showGridLines="0" view="pageBreakPreview" zoomScaleNormal="80" zoomScaleSheetLayoutView="100" workbookViewId="0">
      <selection activeCell="S18" sqref="S18"/>
    </sheetView>
  </sheetViews>
  <sheetFormatPr defaultColWidth="9.140625" defaultRowHeight="21.75" customHeight="1" x14ac:dyDescent="0.45"/>
  <cols>
    <col min="1" max="3" width="2.7109375" style="16" customWidth="1"/>
    <col min="4" max="4" width="54.140625" style="156" customWidth="1"/>
    <col min="5" max="5" width="5.85546875" style="38" customWidth="1"/>
    <col min="6" max="6" width="8" style="16" customWidth="1"/>
    <col min="7" max="7" width="16.28515625" style="88" customWidth="1"/>
    <col min="8" max="8" width="2" style="16" customWidth="1"/>
    <col min="9" max="9" width="16.28515625" style="16" customWidth="1"/>
    <col min="10" max="10" width="17" style="16" hidden="1" customWidth="1"/>
    <col min="11" max="11" width="10" style="16" hidden="1" customWidth="1"/>
    <col min="12" max="12" width="0" style="16" hidden="1" customWidth="1"/>
    <col min="13" max="13" width="12.85546875" style="16" hidden="1" customWidth="1"/>
    <col min="14" max="16384" width="9.140625" style="16"/>
  </cols>
  <sheetData>
    <row r="1" spans="1:13" ht="21.75" customHeight="1" x14ac:dyDescent="0.5">
      <c r="A1" s="160" t="s">
        <v>18</v>
      </c>
      <c r="B1" s="160"/>
      <c r="C1" s="160"/>
      <c r="D1" s="161"/>
      <c r="E1" s="29"/>
      <c r="F1" s="160"/>
      <c r="G1" s="438"/>
      <c r="H1" s="438"/>
      <c r="I1" s="438"/>
    </row>
    <row r="2" spans="1:13" ht="21.75" customHeight="1" x14ac:dyDescent="0.5">
      <c r="A2" s="200" t="s">
        <v>10</v>
      </c>
      <c r="B2" s="200"/>
      <c r="C2" s="200"/>
      <c r="D2" s="200"/>
      <c r="E2" s="200"/>
      <c r="F2" s="200"/>
      <c r="G2" s="200"/>
      <c r="H2" s="200"/>
      <c r="I2" s="200"/>
    </row>
    <row r="3" spans="1:13" ht="14.65" customHeight="1" x14ac:dyDescent="0.5">
      <c r="A3" s="200"/>
      <c r="B3" s="200"/>
      <c r="C3" s="200"/>
      <c r="D3" s="200"/>
      <c r="E3" s="200"/>
      <c r="F3" s="200"/>
      <c r="G3" s="200"/>
      <c r="H3" s="200"/>
      <c r="I3" s="200"/>
    </row>
    <row r="4" spans="1:13" ht="21.75" customHeight="1" x14ac:dyDescent="0.45">
      <c r="A4" s="384"/>
      <c r="B4" s="384"/>
      <c r="C4" s="384"/>
      <c r="D4" s="384"/>
      <c r="E4" s="384"/>
      <c r="F4" s="384"/>
      <c r="G4" s="439" t="s">
        <v>185</v>
      </c>
      <c r="H4" s="443"/>
      <c r="I4" s="443"/>
    </row>
    <row r="5" spans="1:13" ht="21.75" customHeight="1" x14ac:dyDescent="0.45">
      <c r="A5" s="2"/>
      <c r="B5" s="385"/>
      <c r="C5" s="385"/>
      <c r="D5" s="386"/>
      <c r="E5" s="385"/>
      <c r="F5" s="385"/>
      <c r="G5" s="439" t="s">
        <v>184</v>
      </c>
      <c r="H5" s="443"/>
      <c r="I5" s="443"/>
    </row>
    <row r="6" spans="1:13" ht="21.75" customHeight="1" x14ac:dyDescent="0.45">
      <c r="A6" s="17"/>
      <c r="B6" s="17"/>
      <c r="C6" s="17"/>
      <c r="F6" s="39"/>
      <c r="G6" s="18">
        <v>2565</v>
      </c>
      <c r="H6" s="387"/>
      <c r="I6" s="342">
        <v>2564</v>
      </c>
    </row>
    <row r="7" spans="1:13" ht="21.75" customHeight="1" x14ac:dyDescent="0.45">
      <c r="A7" s="15"/>
      <c r="B7" s="15"/>
      <c r="C7" s="15"/>
      <c r="D7" s="157"/>
      <c r="E7" s="27"/>
      <c r="F7" s="48"/>
      <c r="G7" s="440" t="s">
        <v>33</v>
      </c>
      <c r="H7" s="440"/>
      <c r="I7" s="440"/>
    </row>
    <row r="8" spans="1:13" ht="21.75" customHeight="1" x14ac:dyDescent="0.45">
      <c r="A8" s="45" t="s">
        <v>11</v>
      </c>
      <c r="B8" s="4"/>
      <c r="C8" s="4"/>
      <c r="D8" s="6"/>
      <c r="E8" s="27"/>
      <c r="F8" s="49"/>
      <c r="G8" s="77"/>
      <c r="H8" s="13"/>
      <c r="I8" s="46"/>
    </row>
    <row r="9" spans="1:13" ht="21.75" customHeight="1" x14ac:dyDescent="0.45">
      <c r="A9" s="4" t="s">
        <v>97</v>
      </c>
      <c r="C9" s="9"/>
      <c r="D9" s="6"/>
      <c r="E9" s="28"/>
      <c r="F9" s="9"/>
      <c r="G9" s="207" t="e">
        <f>+BL!#REF!</f>
        <v>#REF!</v>
      </c>
      <c r="H9" s="201"/>
      <c r="I9" s="207">
        <v>1144494841</v>
      </c>
    </row>
    <row r="10" spans="1:13" ht="21.75" customHeight="1" x14ac:dyDescent="0.45">
      <c r="A10" s="51" t="s">
        <v>166</v>
      </c>
      <c r="C10" s="9"/>
      <c r="D10" s="6"/>
      <c r="E10" s="28"/>
      <c r="F10" s="9"/>
      <c r="G10" s="207"/>
      <c r="H10" s="201"/>
      <c r="I10" s="207"/>
    </row>
    <row r="11" spans="1:13" ht="21.75" customHeight="1" x14ac:dyDescent="0.45">
      <c r="A11" s="4" t="s">
        <v>30</v>
      </c>
      <c r="D11" s="158"/>
      <c r="E11" s="30"/>
      <c r="F11" s="7"/>
      <c r="G11" s="208">
        <v>49392562</v>
      </c>
      <c r="H11" s="201"/>
      <c r="I11" s="208">
        <v>44580986</v>
      </c>
      <c r="J11" s="186"/>
      <c r="M11" s="16">
        <v>44580986.560000002</v>
      </c>
    </row>
    <row r="12" spans="1:13" ht="21.75" customHeight="1" x14ac:dyDescent="0.45">
      <c r="A12" s="388" t="s">
        <v>245</v>
      </c>
      <c r="D12" s="158"/>
      <c r="E12" s="30"/>
      <c r="F12" s="7"/>
      <c r="G12" s="208">
        <v>-2584793</v>
      </c>
      <c r="H12" s="201"/>
      <c r="I12" s="208">
        <v>-840867</v>
      </c>
      <c r="J12" s="186" t="s">
        <v>196</v>
      </c>
      <c r="M12" s="16">
        <v>-840867.4300000004</v>
      </c>
    </row>
    <row r="13" spans="1:13" ht="21.75" customHeight="1" x14ac:dyDescent="0.45">
      <c r="A13" s="388" t="s">
        <v>246</v>
      </c>
      <c r="D13" s="158"/>
      <c r="E13" s="30"/>
      <c r="F13" s="7"/>
      <c r="G13" s="208">
        <v>263642747</v>
      </c>
      <c r="H13" s="201"/>
      <c r="I13" s="208">
        <v>-12993858</v>
      </c>
      <c r="J13" s="186"/>
      <c r="M13" s="16">
        <v>-12993857.579998475</v>
      </c>
    </row>
    <row r="14" spans="1:13" ht="21.75" customHeight="1" x14ac:dyDescent="0.45">
      <c r="A14" s="388" t="s">
        <v>227</v>
      </c>
      <c r="D14" s="158"/>
      <c r="E14" s="30"/>
      <c r="F14" s="7"/>
      <c r="G14" s="208">
        <v>-8490474.9299999997</v>
      </c>
      <c r="H14" s="201"/>
      <c r="I14" s="208">
        <v>-1384991</v>
      </c>
      <c r="J14" s="186"/>
      <c r="M14" s="16">
        <v>-1384990.9799999781</v>
      </c>
    </row>
    <row r="15" spans="1:13" ht="21.75" hidden="1" customHeight="1" x14ac:dyDescent="0.45">
      <c r="A15" s="4" t="s">
        <v>228</v>
      </c>
      <c r="D15" s="158"/>
      <c r="E15" s="30"/>
      <c r="F15" s="7"/>
      <c r="G15" s="208">
        <v>0</v>
      </c>
      <c r="H15" s="201"/>
      <c r="I15" s="208">
        <v>0</v>
      </c>
      <c r="J15" s="186"/>
      <c r="M15" s="16">
        <v>0</v>
      </c>
    </row>
    <row r="16" spans="1:13" ht="21.75" customHeight="1" x14ac:dyDescent="0.45">
      <c r="A16" s="4" t="s">
        <v>229</v>
      </c>
      <c r="D16" s="158"/>
      <c r="E16" s="30"/>
      <c r="F16" s="7"/>
      <c r="G16" s="374">
        <v>-10072262</v>
      </c>
      <c r="H16" s="201"/>
      <c r="I16" s="208">
        <v>-3719287</v>
      </c>
      <c r="J16" s="186"/>
      <c r="M16" s="16">
        <v>-3719286.99</v>
      </c>
    </row>
    <row r="17" spans="1:13" ht="21.75" customHeight="1" x14ac:dyDescent="0.45">
      <c r="A17" s="4" t="s">
        <v>230</v>
      </c>
      <c r="D17" s="158"/>
      <c r="E17" s="30"/>
      <c r="F17" s="7"/>
      <c r="G17" s="374">
        <v>1390510</v>
      </c>
      <c r="H17" s="201"/>
      <c r="I17" s="208">
        <v>570844</v>
      </c>
      <c r="J17" s="186"/>
      <c r="M17" s="16">
        <v>570844.09</v>
      </c>
    </row>
    <row r="18" spans="1:13" ht="21.75" customHeight="1" x14ac:dyDescent="0.45">
      <c r="A18" s="4" t="s">
        <v>154</v>
      </c>
      <c r="D18" s="158"/>
      <c r="E18" s="30"/>
      <c r="G18" s="210">
        <v>11505212</v>
      </c>
      <c r="H18" s="288"/>
      <c r="I18" s="210">
        <v>12869223</v>
      </c>
      <c r="M18" s="16">
        <v>12869223.52</v>
      </c>
    </row>
    <row r="19" spans="1:13" ht="21.75" customHeight="1" x14ac:dyDescent="0.45">
      <c r="A19" s="4" t="s">
        <v>197</v>
      </c>
      <c r="D19" s="158"/>
      <c r="E19" s="30"/>
      <c r="F19" s="7"/>
      <c r="G19" s="208">
        <v>40098405</v>
      </c>
      <c r="H19" s="202"/>
      <c r="I19" s="208">
        <v>40716773</v>
      </c>
      <c r="J19" s="16" t="s">
        <v>189</v>
      </c>
      <c r="M19" s="16">
        <v>40716772.649999991</v>
      </c>
    </row>
    <row r="20" spans="1:13" ht="21.75" customHeight="1" x14ac:dyDescent="0.45">
      <c r="A20" s="4" t="s">
        <v>195</v>
      </c>
      <c r="D20" s="158"/>
      <c r="E20" s="30"/>
      <c r="F20" s="7"/>
      <c r="G20" s="208">
        <v>-96070055</v>
      </c>
      <c r="H20" s="202"/>
      <c r="I20" s="208">
        <v>-81651735</v>
      </c>
      <c r="M20" s="16">
        <v>-81651735.299999997</v>
      </c>
    </row>
    <row r="21" spans="1:13" ht="21.75" customHeight="1" x14ac:dyDescent="0.45">
      <c r="A21" s="4" t="s">
        <v>162</v>
      </c>
      <c r="D21" s="158"/>
      <c r="E21" s="30"/>
      <c r="F21" s="39"/>
      <c r="G21" s="333">
        <v>-42153093</v>
      </c>
      <c r="H21" s="202"/>
      <c r="I21" s="333">
        <v>-25799806</v>
      </c>
      <c r="J21" s="16" t="s">
        <v>198</v>
      </c>
      <c r="M21" s="16">
        <v>-25799806.309999999</v>
      </c>
    </row>
    <row r="22" spans="1:13" ht="21.75" customHeight="1" x14ac:dyDescent="0.45">
      <c r="A22" s="22" t="s">
        <v>134</v>
      </c>
      <c r="B22" s="162"/>
      <c r="C22" s="26"/>
      <c r="D22" s="281"/>
      <c r="E22" s="282"/>
      <c r="F22" s="31"/>
      <c r="G22" s="212" t="e">
        <f>SUM(G9:G21)</f>
        <v>#REF!</v>
      </c>
      <c r="H22" s="204"/>
      <c r="I22" s="212">
        <f>SUM(I9:I21)</f>
        <v>1116842123</v>
      </c>
      <c r="J22" s="186"/>
    </row>
    <row r="23" spans="1:13" ht="7.15" customHeight="1" x14ac:dyDescent="0.45">
      <c r="A23" s="4"/>
      <c r="C23" s="9"/>
      <c r="D23" s="158"/>
      <c r="E23" s="30"/>
      <c r="F23" s="7"/>
      <c r="G23" s="210"/>
      <c r="H23" s="203"/>
      <c r="I23" s="210"/>
      <c r="J23" s="186"/>
    </row>
    <row r="24" spans="1:13" ht="21.75" customHeight="1" x14ac:dyDescent="0.45">
      <c r="A24" s="51" t="s">
        <v>169</v>
      </c>
      <c r="B24" s="162"/>
      <c r="C24" s="26"/>
      <c r="D24" s="158"/>
      <c r="E24" s="30"/>
      <c r="F24" s="7"/>
      <c r="G24" s="208"/>
      <c r="H24" s="203"/>
      <c r="I24" s="208"/>
    </row>
    <row r="25" spans="1:13" ht="21.75" customHeight="1" x14ac:dyDescent="0.45">
      <c r="A25" s="4" t="s">
        <v>151</v>
      </c>
      <c r="D25" s="158"/>
      <c r="E25" s="30"/>
      <c r="F25" s="7"/>
      <c r="G25" s="208">
        <v>488638639</v>
      </c>
      <c r="H25" s="203"/>
      <c r="I25" s="208">
        <v>-255497640</v>
      </c>
      <c r="M25" s="16">
        <v>-255497640.37296262</v>
      </c>
    </row>
    <row r="26" spans="1:13" ht="21.75" customHeight="1" x14ac:dyDescent="0.45">
      <c r="A26" s="6" t="s">
        <v>45</v>
      </c>
      <c r="D26" s="6"/>
      <c r="E26" s="28"/>
      <c r="F26" s="9"/>
      <c r="G26" s="209">
        <v>984693362</v>
      </c>
      <c r="H26" s="203"/>
      <c r="I26" s="209">
        <v>841410792</v>
      </c>
      <c r="M26" s="16">
        <v>841410792.4694711</v>
      </c>
    </row>
    <row r="27" spans="1:13" ht="21.75" customHeight="1" x14ac:dyDescent="0.45">
      <c r="A27" s="6" t="s">
        <v>188</v>
      </c>
      <c r="D27" s="6"/>
      <c r="E27" s="28"/>
      <c r="F27" s="9"/>
      <c r="G27" s="209">
        <v>-13037506</v>
      </c>
      <c r="H27" s="203"/>
      <c r="I27" s="209">
        <v>-57833117</v>
      </c>
      <c r="J27" s="16" t="s">
        <v>189</v>
      </c>
      <c r="M27" s="16">
        <v>-57833117.22999987</v>
      </c>
    </row>
    <row r="28" spans="1:13" ht="21.75" customHeight="1" x14ac:dyDescent="0.45">
      <c r="A28" s="4" t="s">
        <v>207</v>
      </c>
      <c r="D28" s="6"/>
      <c r="E28" s="28"/>
      <c r="F28" s="9"/>
      <c r="G28" s="208">
        <v>-642196403.53999984</v>
      </c>
      <c r="H28" s="203"/>
      <c r="I28" s="208">
        <v>-1817924221</v>
      </c>
      <c r="J28" s="16" t="s">
        <v>199</v>
      </c>
      <c r="M28" s="16">
        <v>-1817924220.4199977</v>
      </c>
    </row>
    <row r="29" spans="1:13" ht="21.75" customHeight="1" x14ac:dyDescent="0.45">
      <c r="A29" s="4" t="s">
        <v>205</v>
      </c>
      <c r="B29" s="57"/>
      <c r="C29" s="57"/>
      <c r="D29" s="158"/>
      <c r="E29" s="55"/>
      <c r="F29" s="57"/>
      <c r="G29" s="208">
        <v>46998</v>
      </c>
      <c r="H29" s="199"/>
      <c r="I29" s="208">
        <v>1678016</v>
      </c>
      <c r="M29" s="16">
        <v>1678016.076568</v>
      </c>
    </row>
    <row r="30" spans="1:13" ht="21.75" customHeight="1" x14ac:dyDescent="0.45">
      <c r="A30" s="4" t="s">
        <v>12</v>
      </c>
      <c r="D30" s="6"/>
      <c r="E30" s="28"/>
      <c r="F30" s="9"/>
      <c r="G30" s="208">
        <f>32968297+639635</f>
        <v>33607932</v>
      </c>
      <c r="H30" s="203"/>
      <c r="I30" s="208">
        <v>-20624990</v>
      </c>
      <c r="M30" s="16">
        <v>-20624989.959999979</v>
      </c>
    </row>
    <row r="31" spans="1:13" ht="7.15" customHeight="1" x14ac:dyDescent="0.45">
      <c r="A31" s="4"/>
      <c r="D31" s="6"/>
      <c r="E31" s="28"/>
      <c r="F31" s="9"/>
      <c r="G31" s="208"/>
      <c r="H31" s="203"/>
      <c r="I31" s="208"/>
    </row>
    <row r="32" spans="1:13" ht="21.75" customHeight="1" x14ac:dyDescent="0.45">
      <c r="A32" s="51" t="s">
        <v>135</v>
      </c>
      <c r="B32" s="4"/>
      <c r="D32" s="6"/>
      <c r="E32" s="28"/>
      <c r="F32" s="9"/>
      <c r="G32" s="208"/>
      <c r="H32" s="203"/>
      <c r="I32" s="208"/>
    </row>
    <row r="33" spans="1:13" ht="21.75" customHeight="1" x14ac:dyDescent="0.45">
      <c r="A33" s="9" t="s">
        <v>153</v>
      </c>
      <c r="D33" s="6"/>
      <c r="E33" s="28"/>
      <c r="F33" s="9"/>
      <c r="G33" s="208">
        <v>-163608281</v>
      </c>
      <c r="H33" s="203"/>
      <c r="I33" s="208">
        <v>-2595286526</v>
      </c>
      <c r="M33" s="16">
        <v>-2595286526.0298886</v>
      </c>
    </row>
    <row r="34" spans="1:13" ht="21.75" customHeight="1" x14ac:dyDescent="0.45">
      <c r="A34" s="6" t="s">
        <v>46</v>
      </c>
      <c r="D34" s="158"/>
      <c r="E34" s="30"/>
      <c r="F34" s="7"/>
      <c r="G34" s="277">
        <v>-1034362525.3700002</v>
      </c>
      <c r="H34" s="278"/>
      <c r="I34" s="277">
        <v>1269739070</v>
      </c>
      <c r="M34" s="16">
        <v>1269739070.1899636</v>
      </c>
    </row>
    <row r="35" spans="1:13" ht="21.75" customHeight="1" x14ac:dyDescent="0.45">
      <c r="A35" s="6" t="s">
        <v>208</v>
      </c>
      <c r="D35" s="158"/>
      <c r="E35" s="30"/>
      <c r="F35" s="7"/>
      <c r="G35" s="277">
        <v>559418409.90999985</v>
      </c>
      <c r="H35" s="278"/>
      <c r="I35" s="277">
        <v>540397980</v>
      </c>
      <c r="M35" s="16">
        <v>540397980</v>
      </c>
    </row>
    <row r="36" spans="1:13" ht="21.75" customHeight="1" x14ac:dyDescent="0.45">
      <c r="A36" s="6" t="s">
        <v>192</v>
      </c>
      <c r="D36" s="158"/>
      <c r="E36" s="30"/>
      <c r="F36" s="7"/>
      <c r="G36" s="277">
        <v>-57869763</v>
      </c>
      <c r="H36" s="278"/>
      <c r="I36" s="277">
        <v>-3811379</v>
      </c>
      <c r="J36" s="16" t="s">
        <v>189</v>
      </c>
      <c r="M36" s="16">
        <v>-3811379.3000008315</v>
      </c>
    </row>
    <row r="37" spans="1:13" ht="21.75" customHeight="1" x14ac:dyDescent="0.45">
      <c r="A37" s="9" t="s">
        <v>4</v>
      </c>
      <c r="D37" s="159"/>
      <c r="E37" s="389"/>
      <c r="F37" s="22"/>
      <c r="G37" s="211">
        <v>-323169244</v>
      </c>
      <c r="H37" s="266"/>
      <c r="I37" s="211">
        <v>87553277</v>
      </c>
      <c r="M37" s="16">
        <v>87553276.689999908</v>
      </c>
    </row>
    <row r="38" spans="1:13" ht="21.75" customHeight="1" x14ac:dyDescent="0.45">
      <c r="A38" s="22" t="s">
        <v>250</v>
      </c>
      <c r="B38" s="9"/>
      <c r="C38" s="9"/>
      <c r="D38" s="2"/>
      <c r="E38" s="2"/>
      <c r="F38" s="2"/>
      <c r="G38" s="336" t="e">
        <f>SUM(G22:G37)</f>
        <v>#REF!</v>
      </c>
      <c r="H38" s="267"/>
      <c r="I38" s="336">
        <f>SUM(I22:I37)</f>
        <v>-893356615</v>
      </c>
    </row>
    <row r="39" spans="1:13" ht="21.75" customHeight="1" x14ac:dyDescent="0.5">
      <c r="A39" s="22"/>
      <c r="B39" s="9"/>
      <c r="C39" s="9"/>
      <c r="D39" s="368"/>
      <c r="E39" s="368"/>
      <c r="F39" s="368"/>
      <c r="G39" s="313"/>
      <c r="H39" s="267"/>
      <c r="I39" s="313"/>
    </row>
    <row r="40" spans="1:13" ht="21.75" customHeight="1" x14ac:dyDescent="0.5">
      <c r="A40" s="22"/>
      <c r="B40" s="9"/>
      <c r="C40" s="9"/>
      <c r="D40" s="155"/>
      <c r="E40" s="155"/>
      <c r="F40" s="155"/>
      <c r="G40" s="289"/>
      <c r="H40" s="289"/>
      <c r="I40" s="289"/>
      <c r="J40" s="155"/>
      <c r="K40" s="155"/>
    </row>
    <row r="41" spans="1:13" ht="18.399999999999999" customHeight="1" x14ac:dyDescent="0.45">
      <c r="A41" s="25"/>
      <c r="B41" s="12"/>
      <c r="C41" s="12"/>
      <c r="D41" s="14" t="s">
        <v>36</v>
      </c>
      <c r="E41" s="16"/>
      <c r="F41" s="14"/>
      <c r="G41" s="330" t="s">
        <v>37</v>
      </c>
      <c r="H41" s="330"/>
      <c r="I41" s="330"/>
      <c r="J41" s="330"/>
      <c r="K41" s="330"/>
    </row>
    <row r="42" spans="1:13" ht="21.75" customHeight="1" x14ac:dyDescent="0.5">
      <c r="A42" s="160" t="s">
        <v>18</v>
      </c>
      <c r="B42" s="160"/>
      <c r="C42" s="160"/>
      <c r="D42" s="155"/>
      <c r="E42" s="332"/>
      <c r="F42" s="332"/>
      <c r="G42" s="213"/>
      <c r="H42" s="213"/>
      <c r="I42" s="213"/>
      <c r="J42" s="182"/>
    </row>
    <row r="43" spans="1:13" ht="21.75" customHeight="1" x14ac:dyDescent="0.5">
      <c r="A43" s="331" t="s">
        <v>10</v>
      </c>
      <c r="B43" s="331"/>
      <c r="C43" s="331"/>
      <c r="E43" s="39"/>
      <c r="F43" s="43"/>
      <c r="G43" s="290"/>
      <c r="H43" s="290"/>
      <c r="I43" s="290"/>
    </row>
    <row r="44" spans="1:13" ht="12" customHeight="1" x14ac:dyDescent="0.5">
      <c r="A44" s="331"/>
      <c r="B44" s="331"/>
      <c r="C44" s="331"/>
      <c r="E44" s="39"/>
      <c r="F44" s="43"/>
      <c r="G44" s="291"/>
      <c r="H44" s="291"/>
      <c r="I44" s="291"/>
    </row>
    <row r="45" spans="1:13" ht="21.75" customHeight="1" x14ac:dyDescent="0.45">
      <c r="A45" s="384"/>
      <c r="B45" s="386"/>
      <c r="C45" s="386"/>
      <c r="D45" s="157"/>
      <c r="E45" s="27"/>
      <c r="F45" s="48"/>
      <c r="G45" s="439" t="s">
        <v>185</v>
      </c>
      <c r="H45" s="443"/>
      <c r="I45" s="443"/>
    </row>
    <row r="46" spans="1:13" ht="21.75" customHeight="1" x14ac:dyDescent="0.45">
      <c r="A46" s="384"/>
      <c r="B46" s="386"/>
      <c r="C46" s="386"/>
      <c r="D46" s="157"/>
      <c r="E46" s="27"/>
      <c r="F46" s="48"/>
      <c r="G46" s="439" t="s">
        <v>184</v>
      </c>
      <c r="H46" s="443"/>
      <c r="I46" s="443"/>
    </row>
    <row r="47" spans="1:13" ht="21.75" customHeight="1" x14ac:dyDescent="0.45">
      <c r="A47" s="2"/>
      <c r="B47" s="385"/>
      <c r="C47" s="385"/>
      <c r="D47" s="158"/>
      <c r="E47" s="55"/>
      <c r="F47" s="57"/>
      <c r="G47" s="18">
        <v>2565</v>
      </c>
      <c r="H47" s="387"/>
      <c r="I47" s="342">
        <v>2564</v>
      </c>
    </row>
    <row r="48" spans="1:13" ht="21.75" customHeight="1" x14ac:dyDescent="0.45">
      <c r="A48" s="17"/>
      <c r="B48" s="17"/>
      <c r="C48" s="17"/>
      <c r="D48" s="158"/>
      <c r="F48" s="39" t="s">
        <v>15</v>
      </c>
      <c r="G48" s="440" t="s">
        <v>33</v>
      </c>
      <c r="H48" s="440"/>
      <c r="I48" s="440"/>
    </row>
    <row r="49" spans="1:13" ht="9.9499999999999993" customHeight="1" x14ac:dyDescent="0.45">
      <c r="A49" s="15"/>
      <c r="B49" s="15"/>
      <c r="C49" s="15"/>
      <c r="D49" s="158"/>
      <c r="E49" s="55"/>
      <c r="F49" s="57"/>
      <c r="G49" s="209"/>
      <c r="H49" s="199"/>
      <c r="I49" s="390"/>
    </row>
    <row r="50" spans="1:13" ht="21.75" customHeight="1" x14ac:dyDescent="0.45">
      <c r="A50" s="391" t="s">
        <v>247</v>
      </c>
      <c r="B50" s="15"/>
      <c r="C50" s="15"/>
      <c r="D50" s="158"/>
      <c r="E50" s="55"/>
      <c r="F50" s="57"/>
      <c r="G50" s="209">
        <v>-4728660</v>
      </c>
      <c r="H50" s="199"/>
      <c r="I50" s="209">
        <v>-7774000</v>
      </c>
      <c r="M50" s="16">
        <v>-7773999.9999999888</v>
      </c>
    </row>
    <row r="51" spans="1:13" ht="21.75" customHeight="1" x14ac:dyDescent="0.45">
      <c r="A51" s="392" t="s">
        <v>48</v>
      </c>
      <c r="B51" s="15"/>
      <c r="C51" s="15"/>
      <c r="D51" s="158"/>
      <c r="E51" s="55"/>
      <c r="F51" s="57"/>
      <c r="G51" s="287">
        <v>49878909</v>
      </c>
      <c r="H51" s="292"/>
      <c r="I51" s="287">
        <v>48664028</v>
      </c>
      <c r="M51" s="16">
        <v>48664028.250000022</v>
      </c>
    </row>
    <row r="52" spans="1:13" ht="21.75" customHeight="1" x14ac:dyDescent="0.45">
      <c r="A52" s="424" t="s">
        <v>118</v>
      </c>
      <c r="B52" s="15"/>
      <c r="C52" s="15"/>
      <c r="D52" s="158"/>
      <c r="E52" s="55"/>
      <c r="F52" s="57"/>
      <c r="G52" s="287">
        <v>47685078</v>
      </c>
      <c r="H52" s="292"/>
      <c r="I52" s="287">
        <v>33096252</v>
      </c>
      <c r="M52" s="16">
        <v>33096251.579999998</v>
      </c>
    </row>
    <row r="53" spans="1:13" ht="21.75" customHeight="1" x14ac:dyDescent="0.45">
      <c r="A53" s="392" t="s">
        <v>231</v>
      </c>
      <c r="B53" s="15"/>
      <c r="C53" s="15"/>
      <c r="D53" s="158"/>
      <c r="E53" s="55"/>
      <c r="F53" s="57"/>
      <c r="G53" s="287">
        <v>-39695272</v>
      </c>
      <c r="H53" s="292"/>
      <c r="I53" s="287">
        <v>-39152734</v>
      </c>
      <c r="M53" s="16">
        <v>-39152733.769999996</v>
      </c>
    </row>
    <row r="54" spans="1:13" ht="21.75" customHeight="1" x14ac:dyDescent="0.45">
      <c r="A54" s="392" t="s">
        <v>232</v>
      </c>
      <c r="B54" s="15"/>
      <c r="C54" s="15"/>
      <c r="D54" s="158"/>
      <c r="E54" s="55"/>
      <c r="F54" s="57"/>
      <c r="G54" s="334">
        <v>-226693485</v>
      </c>
      <c r="H54" s="292"/>
      <c r="I54" s="334">
        <v>-141408483</v>
      </c>
      <c r="J54" s="16" t="s">
        <v>200</v>
      </c>
      <c r="M54" s="16">
        <v>-141408483.31000003</v>
      </c>
    </row>
    <row r="55" spans="1:13" ht="21.75" customHeight="1" x14ac:dyDescent="0.45">
      <c r="A55" s="2" t="s">
        <v>249</v>
      </c>
      <c r="B55" s="293"/>
      <c r="C55" s="293"/>
      <c r="D55" s="281"/>
      <c r="E55" s="294"/>
      <c r="F55" s="58"/>
      <c r="G55" s="295" t="e">
        <f>+G38+G51+G52+G53+G54+G50</f>
        <v>#REF!</v>
      </c>
      <c r="H55" s="205"/>
      <c r="I55" s="295">
        <f>+I38+I51+I52+I53+I54+I50</f>
        <v>-999931552</v>
      </c>
    </row>
    <row r="56" spans="1:13" ht="9" customHeight="1" x14ac:dyDescent="0.45">
      <c r="A56" s="15"/>
      <c r="B56" s="15"/>
      <c r="C56" s="15"/>
      <c r="D56" s="158"/>
      <c r="E56" s="55"/>
      <c r="F56" s="57"/>
      <c r="G56" s="209"/>
      <c r="H56" s="199"/>
      <c r="I56" s="209"/>
    </row>
    <row r="57" spans="1:13" ht="21.75" customHeight="1" x14ac:dyDescent="0.45">
      <c r="A57" s="45" t="s">
        <v>13</v>
      </c>
      <c r="B57" s="57"/>
      <c r="C57" s="57"/>
      <c r="D57" s="158"/>
      <c r="E57" s="55"/>
      <c r="F57" s="57"/>
      <c r="G57" s="208"/>
      <c r="H57" s="199"/>
      <c r="I57" s="208"/>
    </row>
    <row r="58" spans="1:13" ht="21.75" customHeight="1" x14ac:dyDescent="0.45">
      <c r="A58" s="4" t="s">
        <v>168</v>
      </c>
      <c r="C58" s="57"/>
      <c r="E58" s="164"/>
      <c r="G58" s="393">
        <v>1251690</v>
      </c>
      <c r="H58" s="394"/>
      <c r="I58" s="393">
        <v>0</v>
      </c>
      <c r="M58" s="16">
        <v>0</v>
      </c>
    </row>
    <row r="59" spans="1:13" ht="21.75" customHeight="1" x14ac:dyDescent="0.45">
      <c r="A59" s="4" t="s">
        <v>32</v>
      </c>
      <c r="C59" s="57"/>
      <c r="E59" s="55"/>
      <c r="F59" s="57"/>
      <c r="G59" s="210">
        <v>-32679289</v>
      </c>
      <c r="H59" s="73"/>
      <c r="I59" s="210">
        <v>-30273703</v>
      </c>
      <c r="M59" s="16">
        <v>-30273702.940000065</v>
      </c>
    </row>
    <row r="60" spans="1:13" ht="21.75" customHeight="1" x14ac:dyDescent="0.45">
      <c r="A60" s="4" t="s">
        <v>49</v>
      </c>
      <c r="C60" s="57"/>
      <c r="E60" s="164"/>
      <c r="G60" s="398">
        <v>-17443348</v>
      </c>
      <c r="H60" s="394"/>
      <c r="I60" s="395">
        <v>-28570681</v>
      </c>
      <c r="M60" s="16">
        <v>-28570680.869999968</v>
      </c>
    </row>
    <row r="61" spans="1:13" ht="21.75" customHeight="1" x14ac:dyDescent="0.45">
      <c r="A61" s="4" t="s">
        <v>162</v>
      </c>
      <c r="C61" s="57"/>
      <c r="E61" s="55"/>
      <c r="F61" s="57"/>
      <c r="G61" s="210">
        <v>42047093</v>
      </c>
      <c r="H61" s="73"/>
      <c r="I61" s="210">
        <v>25322273</v>
      </c>
      <c r="M61" s="16">
        <v>25322272.98</v>
      </c>
    </row>
    <row r="62" spans="1:13" ht="21.75" customHeight="1" x14ac:dyDescent="0.45">
      <c r="A62" s="22" t="s">
        <v>233</v>
      </c>
      <c r="B62" s="57"/>
      <c r="C62" s="57"/>
      <c r="E62" s="164"/>
      <c r="G62" s="296">
        <f>SUM(G58:G61)</f>
        <v>-6823854</v>
      </c>
      <c r="H62" s="206"/>
      <c r="I62" s="296">
        <f>SUM(I58:I61)</f>
        <v>-33522111</v>
      </c>
    </row>
    <row r="63" spans="1:13" ht="9.6" customHeight="1" x14ac:dyDescent="0.45">
      <c r="A63" s="22"/>
      <c r="B63" s="57"/>
      <c r="C63" s="57"/>
      <c r="E63" s="164"/>
      <c r="G63" s="374"/>
      <c r="H63" s="394"/>
      <c r="I63" s="374"/>
    </row>
    <row r="64" spans="1:13" ht="21.75" customHeight="1" x14ac:dyDescent="0.45">
      <c r="A64" s="45" t="s">
        <v>43</v>
      </c>
      <c r="E64" s="164"/>
      <c r="G64" s="396"/>
      <c r="H64" s="394"/>
      <c r="I64" s="396"/>
    </row>
    <row r="65" spans="1:13" ht="21.75" customHeight="1" x14ac:dyDescent="0.45">
      <c r="A65" s="4" t="s">
        <v>164</v>
      </c>
      <c r="E65" s="164"/>
      <c r="G65" s="398">
        <v>79893677</v>
      </c>
      <c r="H65" s="397"/>
      <c r="I65" s="398">
        <v>1032726470</v>
      </c>
      <c r="M65" s="16">
        <v>1032726470.47</v>
      </c>
    </row>
    <row r="66" spans="1:13" ht="21.75" customHeight="1" x14ac:dyDescent="0.45">
      <c r="A66" s="4" t="s">
        <v>201</v>
      </c>
      <c r="E66" s="164"/>
      <c r="G66" s="50">
        <v>-200000000</v>
      </c>
      <c r="H66" s="397"/>
      <c r="I66" s="50">
        <v>-1474000000</v>
      </c>
      <c r="J66" s="16" t="s">
        <v>189</v>
      </c>
      <c r="M66" s="16">
        <v>-1474000000</v>
      </c>
    </row>
    <row r="67" spans="1:13" ht="21.75" customHeight="1" x14ac:dyDescent="0.45">
      <c r="A67" s="4" t="s">
        <v>204</v>
      </c>
      <c r="E67" s="164"/>
      <c r="G67" s="50">
        <v>-7936734</v>
      </c>
      <c r="H67" s="397"/>
      <c r="I67" s="50">
        <v>-6769231</v>
      </c>
      <c r="M67" s="16">
        <v>-6769231.2099999897</v>
      </c>
    </row>
    <row r="68" spans="1:13" s="162" customFormat="1" ht="21.75" customHeight="1" x14ac:dyDescent="0.45">
      <c r="A68" s="80" t="s">
        <v>163</v>
      </c>
      <c r="C68" s="16"/>
      <c r="D68" s="159"/>
      <c r="E68" s="55"/>
      <c r="F68" s="57"/>
      <c r="G68" s="317">
        <v>-97845</v>
      </c>
      <c r="H68" s="298"/>
      <c r="I68" s="317">
        <v>-13380</v>
      </c>
      <c r="J68" s="185"/>
      <c r="M68" s="162">
        <v>-1465494.36</v>
      </c>
    </row>
    <row r="69" spans="1:13" s="162" customFormat="1" ht="21.75" customHeight="1" x14ac:dyDescent="0.45">
      <c r="A69" s="80" t="s">
        <v>181</v>
      </c>
      <c r="C69" s="16"/>
      <c r="D69" s="159"/>
      <c r="E69" s="55"/>
      <c r="F69" s="365">
        <v>30</v>
      </c>
      <c r="G69" s="297">
        <v>-1500028155</v>
      </c>
      <c r="H69" s="298"/>
      <c r="I69" s="297">
        <v>-1000018770</v>
      </c>
      <c r="J69" s="185"/>
      <c r="M69" s="162">
        <v>-1000018770</v>
      </c>
    </row>
    <row r="70" spans="1:13" s="162" customFormat="1" ht="21.75" customHeight="1" x14ac:dyDescent="0.45">
      <c r="A70" s="22" t="s">
        <v>182</v>
      </c>
      <c r="B70" s="16"/>
      <c r="C70" s="16"/>
      <c r="D70" s="159"/>
      <c r="F70" s="5"/>
      <c r="G70" s="327">
        <f>SUM(G65:G69)</f>
        <v>-1628169057</v>
      </c>
      <c r="H70" s="298"/>
      <c r="I70" s="327">
        <f>SUM(I65:I69)</f>
        <v>-1448074911</v>
      </c>
    </row>
    <row r="71" spans="1:13" ht="9" customHeight="1" x14ac:dyDescent="0.45">
      <c r="D71" s="6"/>
      <c r="E71" s="39"/>
      <c r="F71" s="5"/>
      <c r="G71" s="212"/>
      <c r="H71" s="298"/>
      <c r="I71" s="212"/>
    </row>
    <row r="72" spans="1:13" s="162" customFormat="1" ht="21.75" customHeight="1" x14ac:dyDescent="0.45">
      <c r="A72" s="165" t="s">
        <v>248</v>
      </c>
      <c r="B72" s="58"/>
      <c r="C72" s="58"/>
      <c r="D72" s="159"/>
      <c r="E72" s="39"/>
      <c r="F72" s="5"/>
      <c r="G72" s="329" t="e">
        <f>SUM(G55+G62+G70)</f>
        <v>#REF!</v>
      </c>
      <c r="H72" s="298"/>
      <c r="I72" s="329">
        <f>SUM(I55+I62+I70)</f>
        <v>-2481528574</v>
      </c>
    </row>
    <row r="73" spans="1:13" ht="21.75" customHeight="1" x14ac:dyDescent="0.45">
      <c r="A73" s="166" t="s">
        <v>234</v>
      </c>
      <c r="B73" s="58"/>
      <c r="C73" s="58"/>
      <c r="D73" s="6"/>
      <c r="F73" s="39">
        <v>5</v>
      </c>
      <c r="G73" s="374">
        <v>2283504159</v>
      </c>
      <c r="H73" s="298"/>
      <c r="I73" s="374">
        <v>4232716937</v>
      </c>
    </row>
    <row r="74" spans="1:13" ht="21.75" customHeight="1" thickBot="1" x14ac:dyDescent="0.5">
      <c r="A74" s="165" t="s">
        <v>235</v>
      </c>
      <c r="B74" s="57"/>
      <c r="C74" s="57"/>
      <c r="F74" s="39">
        <v>5</v>
      </c>
      <c r="G74" s="335" t="e">
        <f>SUM(G72:G73)</f>
        <v>#REF!</v>
      </c>
      <c r="H74" s="399"/>
      <c r="I74" s="335">
        <f>SUM(I72:I73)</f>
        <v>1751188363</v>
      </c>
    </row>
    <row r="75" spans="1:13" ht="21.75" customHeight="1" thickTop="1" x14ac:dyDescent="0.45">
      <c r="A75" s="165"/>
      <c r="B75" s="57"/>
      <c r="C75" s="57"/>
      <c r="F75" s="39"/>
      <c r="G75" s="325"/>
      <c r="H75" s="399"/>
      <c r="I75" s="325"/>
    </row>
    <row r="76" spans="1:13" ht="21.75" customHeight="1" x14ac:dyDescent="0.45">
      <c r="A76" s="165" t="s">
        <v>174</v>
      </c>
      <c r="B76" s="57"/>
      <c r="C76" s="57"/>
      <c r="F76" s="39"/>
      <c r="G76" s="300"/>
      <c r="H76" s="399"/>
      <c r="I76" s="300"/>
    </row>
    <row r="77" spans="1:13" ht="21.75" customHeight="1" x14ac:dyDescent="0.45">
      <c r="A77" s="166" t="s">
        <v>175</v>
      </c>
      <c r="B77" s="57"/>
      <c r="C77" s="57"/>
      <c r="F77" s="39"/>
      <c r="G77" s="300"/>
      <c r="H77" s="399"/>
      <c r="I77" s="300"/>
    </row>
    <row r="78" spans="1:13" ht="21.75" customHeight="1" x14ac:dyDescent="0.45">
      <c r="A78" s="166" t="s">
        <v>173</v>
      </c>
      <c r="B78" s="57"/>
      <c r="C78" s="57"/>
      <c r="E78" s="39"/>
      <c r="G78" s="301">
        <v>5759890.6200000001</v>
      </c>
      <c r="H78" s="400"/>
      <c r="I78" s="301">
        <v>159936311</v>
      </c>
      <c r="M78" s="16">
        <v>159936311.06999999</v>
      </c>
    </row>
    <row r="79" spans="1:13" ht="21.75" customHeight="1" x14ac:dyDescent="0.45">
      <c r="A79" s="166" t="s">
        <v>183</v>
      </c>
      <c r="G79" s="65">
        <v>7999049.5199999996</v>
      </c>
      <c r="I79" s="65">
        <v>8586159</v>
      </c>
      <c r="M79" s="16">
        <v>8586159</v>
      </c>
    </row>
    <row r="80" spans="1:13" ht="18.399999999999999" customHeight="1" x14ac:dyDescent="0.45">
      <c r="A80" s="165"/>
      <c r="B80" s="57"/>
      <c r="C80" s="57"/>
      <c r="F80" s="39"/>
      <c r="G80" s="300"/>
      <c r="H80" s="399"/>
      <c r="I80" s="300"/>
    </row>
    <row r="81" spans="1:11" ht="19.149999999999999" customHeight="1" x14ac:dyDescent="0.45">
      <c r="A81" s="165"/>
      <c r="B81" s="57"/>
      <c r="C81" s="57"/>
      <c r="F81" s="39"/>
      <c r="G81" s="300"/>
      <c r="H81" s="299"/>
      <c r="I81" s="300"/>
    </row>
    <row r="82" spans="1:11" ht="25.5" customHeight="1" x14ac:dyDescent="0.45">
      <c r="A82" s="25"/>
      <c r="B82" s="12"/>
      <c r="C82" s="12"/>
      <c r="D82" s="14" t="s">
        <v>36</v>
      </c>
      <c r="E82" s="16"/>
      <c r="F82" s="14"/>
      <c r="G82" s="330" t="s">
        <v>37</v>
      </c>
      <c r="H82" s="330"/>
      <c r="I82" s="330"/>
      <c r="J82" s="330"/>
      <c r="K82" s="330"/>
    </row>
  </sheetData>
  <mergeCells count="7">
    <mergeCell ref="G48:I48"/>
    <mergeCell ref="G5:I5"/>
    <mergeCell ref="G1:I1"/>
    <mergeCell ref="G7:I7"/>
    <mergeCell ref="G4:I4"/>
    <mergeCell ref="G45:I45"/>
    <mergeCell ref="G46:I46"/>
  </mergeCells>
  <phoneticPr fontId="14" type="noConversion"/>
  <dataValidations xWindow="607" yWindow="356" count="1">
    <dataValidation allowBlank="1" showInputMessage="1" showErrorMessage="1" prompt="จำนวนงิน_x000a_" sqref="G42:G44 G49:G58 G83:G113 I80:I81 I62:I70 G80:G81 I49:I58 G18:G37 I9:I39 G60 G62:G70 I60 G38:H39 I74:I78 G8:G15 G74:G78" xr:uid="{00000000-0002-0000-0200-000000000000}"/>
  </dataValidations>
  <pageMargins left="0.7" right="0.7" top="0.48" bottom="0.5" header="0.5" footer="0.5"/>
  <pageSetup paperSize="9" scale="89" firstPageNumber="9" orientation="portrait" useFirstPageNumber="1" r:id="rId1"/>
  <headerFooter>
    <oddFooter>&amp;L หมายเหตุประกอบงบการเงินเป็นส่วนหนึ่งของงบการเงินระหว่างกาลนี้
&amp;C&amp;P</oddFooter>
  </headerFooter>
  <rowBreaks count="1" manualBreakCount="1">
    <brk id="41" max="8" man="1"/>
  </rowBreaks>
  <customProperties>
    <customPr name="QAA_DRILLPATH_NODE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M47"/>
  <sheetViews>
    <sheetView showGridLines="0" topLeftCell="A23" zoomScale="70" zoomScaleNormal="70" zoomScaleSheetLayoutView="70" zoomScalePageLayoutView="89" workbookViewId="0">
      <selection activeCell="V49" sqref="V49"/>
    </sheetView>
  </sheetViews>
  <sheetFormatPr defaultColWidth="9.140625" defaultRowHeight="23.25" customHeight="1" x14ac:dyDescent="0.45"/>
  <cols>
    <col min="1" max="1" width="47.42578125" style="305" customWidth="1"/>
    <col min="2" max="2" width="10.42578125" style="302" customWidth="1"/>
    <col min="3" max="3" width="1.7109375" style="303" customWidth="1"/>
    <col min="4" max="4" width="19.28515625" style="304" customWidth="1"/>
    <col min="5" max="5" width="1.7109375" style="303" customWidth="1"/>
    <col min="6" max="6" width="18.85546875" style="304" customWidth="1"/>
    <col min="7" max="7" width="1.7109375" style="303" customWidth="1"/>
    <col min="8" max="8" width="19.85546875" style="304" customWidth="1"/>
    <col min="9" max="9" width="1.7109375" style="303" customWidth="1"/>
    <col min="10" max="10" width="20.140625" style="304" customWidth="1"/>
    <col min="11" max="11" width="1.7109375" style="304" customWidth="1"/>
    <col min="12" max="12" width="19.85546875" style="304" customWidth="1"/>
    <col min="13" max="13" width="21.140625" style="304" customWidth="1"/>
    <col min="14" max="14" width="12.85546875" style="304" bestFit="1" customWidth="1"/>
    <col min="15" max="16384" width="9.140625" style="304"/>
  </cols>
  <sheetData>
    <row r="1" spans="1:12" ht="23.1" customHeight="1" x14ac:dyDescent="0.5">
      <c r="A1" s="198" t="s">
        <v>18</v>
      </c>
    </row>
    <row r="2" spans="1:12" ht="23.1" customHeight="1" x14ac:dyDescent="0.5">
      <c r="A2" s="198" t="s">
        <v>142</v>
      </c>
    </row>
    <row r="3" spans="1:12" ht="23.1" customHeight="1" x14ac:dyDescent="0.5">
      <c r="A3" s="198"/>
    </row>
    <row r="4" spans="1:12" s="213" customFormat="1" ht="22.5" customHeight="1" x14ac:dyDescent="0.45">
      <c r="A4" s="279"/>
      <c r="B4" s="279"/>
      <c r="C4" s="375"/>
      <c r="E4" s="273"/>
      <c r="F4" s="269"/>
      <c r="G4" s="269"/>
      <c r="H4" s="442" t="s">
        <v>47</v>
      </c>
      <c r="I4" s="442"/>
      <c r="J4" s="442"/>
      <c r="K4" s="269"/>
      <c r="L4" s="376"/>
    </row>
    <row r="5" spans="1:12" s="213" customFormat="1" ht="22.5" customHeight="1" x14ac:dyDescent="0.45">
      <c r="A5" s="279"/>
      <c r="B5" s="279"/>
      <c r="C5" s="375"/>
      <c r="E5" s="273"/>
      <c r="F5" s="269"/>
      <c r="G5" s="269"/>
      <c r="H5" s="269"/>
      <c r="I5" s="269"/>
      <c r="J5" s="269"/>
      <c r="K5" s="269"/>
      <c r="L5" s="376"/>
    </row>
    <row r="6" spans="1:12" s="213" customFormat="1" ht="22.5" customHeight="1" x14ac:dyDescent="0.45">
      <c r="A6" s="279"/>
      <c r="B6" s="279"/>
      <c r="C6" s="375"/>
      <c r="E6" s="273"/>
      <c r="F6" s="269"/>
      <c r="G6" s="269"/>
      <c r="H6" s="269" t="s">
        <v>24</v>
      </c>
      <c r="I6" s="269"/>
      <c r="J6" s="269"/>
      <c r="K6" s="269"/>
      <c r="L6" s="376"/>
    </row>
    <row r="7" spans="1:12" s="213" customFormat="1" ht="22.5" customHeight="1" x14ac:dyDescent="0.45">
      <c r="A7" s="279"/>
      <c r="B7" s="377"/>
      <c r="C7" s="276"/>
      <c r="D7" s="377" t="s">
        <v>161</v>
      </c>
      <c r="E7" s="272"/>
      <c r="F7" s="377" t="s">
        <v>20</v>
      </c>
      <c r="G7" s="269"/>
      <c r="H7" s="378" t="s">
        <v>170</v>
      </c>
      <c r="I7" s="269"/>
      <c r="J7" s="377" t="s">
        <v>123</v>
      </c>
      <c r="K7" s="377"/>
      <c r="L7" s="377" t="s">
        <v>35</v>
      </c>
    </row>
    <row r="8" spans="1:12" s="213" customFormat="1" ht="22.5" customHeight="1" x14ac:dyDescent="0.45">
      <c r="A8" s="279"/>
      <c r="B8" s="268" t="s">
        <v>15</v>
      </c>
      <c r="C8" s="276"/>
      <c r="D8" s="377" t="s">
        <v>150</v>
      </c>
      <c r="E8" s="272"/>
      <c r="F8" s="379" t="s">
        <v>21</v>
      </c>
      <c r="G8" s="269"/>
      <c r="H8" s="377" t="s">
        <v>171</v>
      </c>
      <c r="I8" s="269"/>
      <c r="J8" s="377" t="s">
        <v>122</v>
      </c>
      <c r="K8" s="377"/>
      <c r="L8" s="377" t="s">
        <v>141</v>
      </c>
    </row>
    <row r="9" spans="1:12" s="213" customFormat="1" ht="22.5" customHeight="1" x14ac:dyDescent="0.45">
      <c r="A9" s="279"/>
      <c r="B9" s="268"/>
      <c r="C9" s="272"/>
      <c r="D9" s="441" t="s">
        <v>33</v>
      </c>
      <c r="E9" s="441"/>
      <c r="F9" s="441"/>
      <c r="G9" s="441"/>
      <c r="H9" s="441"/>
      <c r="I9" s="441"/>
      <c r="J9" s="441"/>
      <c r="K9" s="441"/>
      <c r="L9" s="441"/>
    </row>
    <row r="10" spans="1:12" s="213" customFormat="1" ht="23.25" customHeight="1" x14ac:dyDescent="0.45">
      <c r="A10" s="165" t="s">
        <v>211</v>
      </c>
      <c r="B10" s="268"/>
      <c r="C10" s="269"/>
      <c r="D10" s="270"/>
      <c r="E10" s="271"/>
      <c r="F10" s="270"/>
      <c r="G10" s="306"/>
      <c r="H10" s="270"/>
      <c r="I10" s="271"/>
      <c r="J10" s="270"/>
      <c r="K10" s="270"/>
      <c r="L10" s="270"/>
    </row>
    <row r="11" spans="1:12" s="213" customFormat="1" ht="23.25" customHeight="1" x14ac:dyDescent="0.45">
      <c r="A11" s="165" t="s">
        <v>212</v>
      </c>
      <c r="B11" s="268"/>
      <c r="C11" s="272"/>
      <c r="D11" s="307">
        <v>500009385</v>
      </c>
      <c r="E11" s="308"/>
      <c r="F11" s="307">
        <v>334232400</v>
      </c>
      <c r="G11" s="309"/>
      <c r="H11" s="307">
        <v>50100000</v>
      </c>
      <c r="I11" s="309"/>
      <c r="J11" s="307">
        <v>5893691198</v>
      </c>
      <c r="K11" s="309"/>
      <c r="L11" s="270">
        <v>6778032983</v>
      </c>
    </row>
    <row r="12" spans="1:12" s="213" customFormat="1" ht="23.25" customHeight="1" x14ac:dyDescent="0.45">
      <c r="A12" s="165" t="s">
        <v>178</v>
      </c>
      <c r="B12" s="268"/>
      <c r="C12" s="272"/>
      <c r="D12" s="78"/>
      <c r="E12" s="78"/>
      <c r="F12" s="100"/>
      <c r="G12" s="100"/>
      <c r="H12" s="78"/>
      <c r="I12" s="44"/>
      <c r="J12" s="44"/>
      <c r="K12" s="44"/>
      <c r="L12" s="315"/>
    </row>
    <row r="13" spans="1:12" s="213" customFormat="1" ht="23.25" customHeight="1" x14ac:dyDescent="0.45">
      <c r="A13" s="279" t="s">
        <v>179</v>
      </c>
      <c r="B13" s="268">
        <v>30</v>
      </c>
      <c r="C13" s="272"/>
      <c r="D13" s="380">
        <v>0</v>
      </c>
      <c r="E13" s="322"/>
      <c r="F13" s="380">
        <v>0</v>
      </c>
      <c r="G13" s="100"/>
      <c r="H13" s="380">
        <v>0</v>
      </c>
      <c r="I13" s="270"/>
      <c r="J13" s="316">
        <v>-1000018770</v>
      </c>
      <c r="K13" s="364"/>
      <c r="L13" s="326">
        <f>SUM(D13,F13,H13,J13)</f>
        <v>-1000018770</v>
      </c>
    </row>
    <row r="14" spans="1:12" s="213" customFormat="1" ht="23.25" customHeight="1" x14ac:dyDescent="0.45">
      <c r="A14" s="165" t="s">
        <v>180</v>
      </c>
      <c r="B14" s="268"/>
      <c r="C14" s="272"/>
      <c r="D14" s="323">
        <f>SUM(D13)</f>
        <v>0</v>
      </c>
      <c r="E14" s="100"/>
      <c r="F14" s="323">
        <f>SUM(F13)</f>
        <v>0</v>
      </c>
      <c r="G14" s="100"/>
      <c r="H14" s="323">
        <f>SUM(H13)</f>
        <v>0</v>
      </c>
      <c r="I14" s="44"/>
      <c r="J14" s="327">
        <f>SUM(J13)</f>
        <v>-1000018770</v>
      </c>
      <c r="K14" s="44"/>
      <c r="L14" s="327">
        <f>SUM(L13)</f>
        <v>-1000018770</v>
      </c>
    </row>
    <row r="15" spans="1:12" s="213" customFormat="1" ht="23.25" customHeight="1" x14ac:dyDescent="0.45">
      <c r="A15" s="275" t="s">
        <v>187</v>
      </c>
      <c r="B15" s="276"/>
      <c r="C15" s="273"/>
      <c r="D15" s="270"/>
      <c r="E15" s="270"/>
      <c r="F15" s="270"/>
      <c r="G15" s="270"/>
      <c r="H15" s="270"/>
      <c r="I15" s="270"/>
      <c r="J15" s="270"/>
      <c r="K15" s="270"/>
      <c r="L15" s="328"/>
    </row>
    <row r="16" spans="1:12" s="213" customFormat="1" ht="23.25" customHeight="1" x14ac:dyDescent="0.45">
      <c r="A16" s="310" t="s">
        <v>186</v>
      </c>
      <c r="B16" s="276"/>
      <c r="C16" s="273"/>
      <c r="D16" s="380">
        <v>0</v>
      </c>
      <c r="E16" s="322"/>
      <c r="F16" s="380">
        <v>0</v>
      </c>
      <c r="G16" s="322"/>
      <c r="H16" s="380">
        <v>0</v>
      </c>
      <c r="I16" s="100"/>
      <c r="J16" s="381">
        <v>918458728</v>
      </c>
      <c r="K16" s="311"/>
      <c r="L16" s="381">
        <f>SUM(D16,F16,H16,J16)</f>
        <v>918458728</v>
      </c>
    </row>
    <row r="17" spans="1:13" s="213" customFormat="1" ht="23.25" customHeight="1" x14ac:dyDescent="0.45">
      <c r="A17" s="165" t="s">
        <v>252</v>
      </c>
      <c r="B17" s="268"/>
      <c r="C17" s="269"/>
      <c r="D17" s="323">
        <f>SUM(D16)</f>
        <v>0</v>
      </c>
      <c r="E17" s="324"/>
      <c r="F17" s="323">
        <f>SUM(F16)</f>
        <v>0</v>
      </c>
      <c r="G17" s="324"/>
      <c r="H17" s="323">
        <f>SUM(H16)</f>
        <v>0</v>
      </c>
      <c r="I17" s="259"/>
      <c r="J17" s="327">
        <f>SUM(J16)</f>
        <v>918458728</v>
      </c>
      <c r="K17" s="313"/>
      <c r="L17" s="327">
        <f>SUM(L16)</f>
        <v>918458728</v>
      </c>
    </row>
    <row r="18" spans="1:13" s="213" customFormat="1" ht="23.25" customHeight="1" thickBot="1" x14ac:dyDescent="0.5">
      <c r="A18" s="165" t="s">
        <v>213</v>
      </c>
      <c r="B18" s="268"/>
      <c r="C18" s="269"/>
      <c r="D18" s="362">
        <f>D11+D17+D14</f>
        <v>500009385</v>
      </c>
      <c r="E18" s="363"/>
      <c r="F18" s="362">
        <f>F11+F17+F14</f>
        <v>334232400</v>
      </c>
      <c r="G18" s="364"/>
      <c r="H18" s="362">
        <f>H11+H17+H14</f>
        <v>50100000</v>
      </c>
      <c r="I18" s="271"/>
      <c r="J18" s="274">
        <f>J11+J17+J14</f>
        <v>5812131156</v>
      </c>
      <c r="K18" s="328"/>
      <c r="L18" s="274">
        <f>L11+L17+L14</f>
        <v>6696472941</v>
      </c>
      <c r="M18" s="382">
        <f>+L18-BL!J65</f>
        <v>235604184.65999985</v>
      </c>
    </row>
    <row r="19" spans="1:13" ht="23.25" customHeight="1" thickTop="1" x14ac:dyDescent="0.45">
      <c r="A19" s="165"/>
      <c r="B19" s="268"/>
      <c r="C19" s="269"/>
      <c r="D19" s="313"/>
      <c r="E19" s="363"/>
      <c r="F19" s="313"/>
      <c r="G19" s="364"/>
      <c r="H19" s="313"/>
      <c r="I19" s="271"/>
      <c r="J19" s="270"/>
      <c r="K19" s="328"/>
      <c r="L19" s="270"/>
      <c r="M19" s="312"/>
    </row>
    <row r="20" spans="1:13" ht="23.25" customHeight="1" x14ac:dyDescent="0.45">
      <c r="A20" s="165"/>
      <c r="B20" s="268"/>
      <c r="C20" s="269"/>
      <c r="D20" s="313"/>
      <c r="E20" s="363"/>
      <c r="F20" s="313"/>
      <c r="G20" s="364"/>
      <c r="H20" s="313"/>
      <c r="I20" s="271"/>
      <c r="J20" s="270"/>
      <c r="K20" s="328"/>
      <c r="L20" s="270"/>
      <c r="M20" s="312"/>
    </row>
    <row r="21" spans="1:13" ht="13.5" customHeight="1" x14ac:dyDescent="0.45"/>
    <row r="22" spans="1:13" ht="21.95" customHeight="1" x14ac:dyDescent="0.45"/>
    <row r="23" spans="1:13" ht="23.25" customHeight="1" x14ac:dyDescent="0.45">
      <c r="B23" s="14" t="s">
        <v>36</v>
      </c>
      <c r="H23" s="14" t="s">
        <v>36</v>
      </c>
    </row>
    <row r="25" spans="1:13" ht="23.1" customHeight="1" x14ac:dyDescent="0.5">
      <c r="A25" s="198" t="s">
        <v>18</v>
      </c>
    </row>
    <row r="26" spans="1:13" ht="23.1" customHeight="1" x14ac:dyDescent="0.5">
      <c r="A26" s="198" t="s">
        <v>142</v>
      </c>
    </row>
    <row r="27" spans="1:13" ht="23.1" customHeight="1" x14ac:dyDescent="0.5">
      <c r="A27" s="198"/>
    </row>
    <row r="28" spans="1:13" s="213" customFormat="1" ht="22.5" customHeight="1" x14ac:dyDescent="0.45">
      <c r="A28" s="279"/>
      <c r="B28" s="279"/>
      <c r="C28" s="375"/>
      <c r="E28" s="273"/>
      <c r="F28" s="269"/>
      <c r="G28" s="269"/>
      <c r="H28" s="442" t="s">
        <v>47</v>
      </c>
      <c r="I28" s="442"/>
      <c r="J28" s="442"/>
      <c r="K28" s="269"/>
      <c r="L28" s="376"/>
    </row>
    <row r="29" spans="1:13" s="213" customFormat="1" ht="22.5" customHeight="1" x14ac:dyDescent="0.45">
      <c r="A29" s="279"/>
      <c r="B29" s="279"/>
      <c r="C29" s="375"/>
      <c r="E29" s="273"/>
      <c r="F29" s="269"/>
      <c r="G29" s="269"/>
      <c r="H29" s="269"/>
      <c r="I29" s="269"/>
      <c r="J29" s="269"/>
      <c r="K29" s="269"/>
      <c r="L29" s="376"/>
    </row>
    <row r="30" spans="1:13" s="213" customFormat="1" ht="22.5" customHeight="1" x14ac:dyDescent="0.45">
      <c r="A30" s="279"/>
      <c r="B30" s="279"/>
      <c r="C30" s="375"/>
      <c r="E30" s="273"/>
      <c r="F30" s="269"/>
      <c r="G30" s="269"/>
      <c r="H30" s="269" t="s">
        <v>24</v>
      </c>
      <c r="I30" s="269"/>
      <c r="J30" s="269"/>
      <c r="K30" s="269"/>
      <c r="L30" s="376"/>
    </row>
    <row r="31" spans="1:13" s="213" customFormat="1" ht="22.5" customHeight="1" x14ac:dyDescent="0.45">
      <c r="A31" s="279"/>
      <c r="B31" s="377"/>
      <c r="C31" s="276"/>
      <c r="D31" s="377" t="s">
        <v>161</v>
      </c>
      <c r="E31" s="272"/>
      <c r="F31" s="377" t="s">
        <v>20</v>
      </c>
      <c r="G31" s="269"/>
      <c r="H31" s="378" t="s">
        <v>170</v>
      </c>
      <c r="I31" s="269"/>
      <c r="J31" s="377" t="s">
        <v>123</v>
      </c>
      <c r="K31" s="377"/>
      <c r="L31" s="377" t="s">
        <v>35</v>
      </c>
    </row>
    <row r="32" spans="1:13" s="213" customFormat="1" ht="22.5" customHeight="1" x14ac:dyDescent="0.45">
      <c r="A32" s="279"/>
      <c r="B32" s="268" t="s">
        <v>15</v>
      </c>
      <c r="C32" s="276"/>
      <c r="D32" s="377" t="s">
        <v>150</v>
      </c>
      <c r="E32" s="272"/>
      <c r="F32" s="379" t="s">
        <v>21</v>
      </c>
      <c r="G32" s="269"/>
      <c r="H32" s="377" t="s">
        <v>171</v>
      </c>
      <c r="I32" s="269"/>
      <c r="J32" s="377" t="s">
        <v>122</v>
      </c>
      <c r="K32" s="377"/>
      <c r="L32" s="377" t="s">
        <v>141</v>
      </c>
    </row>
    <row r="33" spans="1:13" s="213" customFormat="1" ht="22.5" customHeight="1" x14ac:dyDescent="0.45">
      <c r="A33" s="279"/>
      <c r="B33" s="268"/>
      <c r="C33" s="272"/>
      <c r="D33" s="441" t="s">
        <v>33</v>
      </c>
      <c r="E33" s="441"/>
      <c r="F33" s="441"/>
      <c r="G33" s="441"/>
      <c r="H33" s="441"/>
      <c r="I33" s="441"/>
      <c r="J33" s="441"/>
      <c r="K33" s="441"/>
      <c r="L33" s="441"/>
    </row>
    <row r="34" spans="1:13" s="213" customFormat="1" ht="23.25" customHeight="1" x14ac:dyDescent="0.45">
      <c r="A34" s="165" t="s">
        <v>239</v>
      </c>
      <c r="B34" s="268"/>
      <c r="C34" s="269"/>
      <c r="D34" s="270"/>
      <c r="E34" s="271"/>
      <c r="F34" s="270"/>
      <c r="G34" s="306"/>
      <c r="H34" s="270"/>
      <c r="I34" s="271"/>
      <c r="J34" s="270"/>
      <c r="K34" s="270"/>
      <c r="L34" s="270"/>
    </row>
    <row r="35" spans="1:13" s="213" customFormat="1" ht="23.25" customHeight="1" x14ac:dyDescent="0.45">
      <c r="A35" s="165" t="s">
        <v>240</v>
      </c>
      <c r="B35" s="268"/>
      <c r="C35" s="272"/>
      <c r="D35" s="307">
        <f>D18</f>
        <v>500009385</v>
      </c>
      <c r="E35" s="308"/>
      <c r="F35" s="307">
        <f>F18</f>
        <v>334232400</v>
      </c>
      <c r="G35" s="309"/>
      <c r="H35" s="307">
        <f>H18</f>
        <v>50100000</v>
      </c>
      <c r="I35" s="309"/>
      <c r="J35" s="307">
        <v>6507921002</v>
      </c>
      <c r="K35" s="309"/>
      <c r="L35" s="270">
        <v>7392262787</v>
      </c>
    </row>
    <row r="36" spans="1:13" s="213" customFormat="1" ht="23.25" customHeight="1" x14ac:dyDescent="0.45">
      <c r="A36" s="165" t="s">
        <v>178</v>
      </c>
      <c r="B36" s="268"/>
      <c r="C36" s="272"/>
      <c r="D36" s="78"/>
      <c r="E36" s="78"/>
      <c r="F36" s="100"/>
      <c r="G36" s="100"/>
      <c r="H36" s="78"/>
      <c r="I36" s="44"/>
      <c r="J36" s="44"/>
      <c r="K36" s="44"/>
      <c r="L36" s="315"/>
    </row>
    <row r="37" spans="1:13" s="213" customFormat="1" ht="23.25" customHeight="1" x14ac:dyDescent="0.45">
      <c r="A37" s="279" t="s">
        <v>179</v>
      </c>
      <c r="B37" s="268">
        <v>30</v>
      </c>
      <c r="C37" s="272"/>
      <c r="D37" s="380">
        <v>0</v>
      </c>
      <c r="E37" s="322"/>
      <c r="F37" s="380">
        <v>0</v>
      </c>
      <c r="G37" s="100"/>
      <c r="H37" s="380">
        <v>0</v>
      </c>
      <c r="I37" s="270"/>
      <c r="J37" s="316">
        <v>-1500028155</v>
      </c>
      <c r="K37" s="364"/>
      <c r="L37" s="326">
        <v>-1500028155</v>
      </c>
    </row>
    <row r="38" spans="1:13" s="213" customFormat="1" ht="23.25" customHeight="1" x14ac:dyDescent="0.45">
      <c r="A38" s="165" t="s">
        <v>180</v>
      </c>
      <c r="B38" s="268"/>
      <c r="C38" s="272"/>
      <c r="D38" s="323">
        <f>SUM(D37)</f>
        <v>0</v>
      </c>
      <c r="E38" s="100"/>
      <c r="F38" s="323">
        <f>SUM(F37)</f>
        <v>0</v>
      </c>
      <c r="G38" s="100"/>
      <c r="H38" s="323">
        <f>SUM(H37)</f>
        <v>0</v>
      </c>
      <c r="I38" s="44"/>
      <c r="J38" s="327">
        <f>SUM(J37)</f>
        <v>-1500028155</v>
      </c>
      <c r="K38" s="44"/>
      <c r="L38" s="327">
        <f>SUM(L37)</f>
        <v>-1500028155</v>
      </c>
    </row>
    <row r="39" spans="1:13" s="213" customFormat="1" ht="23.25" customHeight="1" x14ac:dyDescent="0.45">
      <c r="A39" s="275" t="s">
        <v>187</v>
      </c>
      <c r="B39" s="276"/>
      <c r="C39" s="273"/>
      <c r="D39" s="270"/>
      <c r="E39" s="270"/>
      <c r="F39" s="270"/>
      <c r="G39" s="270"/>
      <c r="H39" s="270"/>
      <c r="I39" s="270"/>
      <c r="J39" s="270"/>
      <c r="K39" s="270"/>
      <c r="L39" s="328"/>
    </row>
    <row r="40" spans="1:13" s="213" customFormat="1" ht="23.25" customHeight="1" x14ac:dyDescent="0.45">
      <c r="A40" s="310" t="s">
        <v>186</v>
      </c>
      <c r="B40" s="276"/>
      <c r="C40" s="273"/>
      <c r="D40" s="380">
        <v>0</v>
      </c>
      <c r="E40" s="322"/>
      <c r="F40" s="380">
        <v>0</v>
      </c>
      <c r="G40" s="322"/>
      <c r="H40" s="380">
        <v>0</v>
      </c>
      <c r="I40" s="100"/>
      <c r="J40" s="381">
        <f>+[3]BL!J100</f>
        <v>568634124.33999991</v>
      </c>
      <c r="K40" s="311"/>
      <c r="L40" s="381">
        <f>SUM(D40,F40,H40,J40)</f>
        <v>568634124.33999991</v>
      </c>
    </row>
    <row r="41" spans="1:13" s="213" customFormat="1" ht="23.25" customHeight="1" x14ac:dyDescent="0.45">
      <c r="A41" s="165" t="s">
        <v>252</v>
      </c>
      <c r="B41" s="268"/>
      <c r="C41" s="269"/>
      <c r="D41" s="323">
        <f>SUM(D40)</f>
        <v>0</v>
      </c>
      <c r="E41" s="324"/>
      <c r="F41" s="323">
        <f>SUM(F40)</f>
        <v>0</v>
      </c>
      <c r="G41" s="324"/>
      <c r="H41" s="323">
        <f>SUM(H40)</f>
        <v>0</v>
      </c>
      <c r="I41" s="259"/>
      <c r="J41" s="327">
        <f>SUM(J40)</f>
        <v>568634124.33999991</v>
      </c>
      <c r="K41" s="313"/>
      <c r="L41" s="327">
        <f>SUM(L40)</f>
        <v>568634124.33999991</v>
      </c>
    </row>
    <row r="42" spans="1:13" s="213" customFormat="1" ht="23.25" customHeight="1" thickBot="1" x14ac:dyDescent="0.5">
      <c r="A42" s="165" t="s">
        <v>241</v>
      </c>
      <c r="B42" s="268"/>
      <c r="C42" s="269"/>
      <c r="D42" s="362">
        <f>D35+D41+D38</f>
        <v>500009385</v>
      </c>
      <c r="E42" s="363"/>
      <c r="F42" s="362">
        <f>F35+F41+F38</f>
        <v>334232400</v>
      </c>
      <c r="G42" s="364"/>
      <c r="H42" s="362">
        <f>H35+H41+H38</f>
        <v>50100000</v>
      </c>
      <c r="I42" s="271"/>
      <c r="J42" s="274">
        <f>J35+J41+J38</f>
        <v>5576526971.3400002</v>
      </c>
      <c r="K42" s="328"/>
      <c r="L42" s="274">
        <f>L35+L41+L38</f>
        <v>6460868756.3400002</v>
      </c>
      <c r="M42" s="382" t="e">
        <f>+L42-BL!#REF!</f>
        <v>#REF!</v>
      </c>
    </row>
    <row r="43" spans="1:13" s="213" customFormat="1" ht="23.25" customHeight="1" thickTop="1" x14ac:dyDescent="0.45">
      <c r="A43" s="165"/>
      <c r="B43" s="268"/>
      <c r="C43" s="269"/>
      <c r="D43" s="313"/>
      <c r="E43" s="363"/>
      <c r="F43" s="313"/>
      <c r="G43" s="364"/>
      <c r="H43" s="313"/>
      <c r="I43" s="271"/>
      <c r="J43" s="270"/>
      <c r="K43" s="328"/>
      <c r="L43" s="270"/>
      <c r="M43" s="382"/>
    </row>
    <row r="44" spans="1:13" s="213" customFormat="1" ht="23.25" customHeight="1" x14ac:dyDescent="0.45">
      <c r="A44" s="165"/>
      <c r="B44" s="268"/>
      <c r="C44" s="269"/>
      <c r="D44" s="313"/>
      <c r="E44" s="363"/>
      <c r="F44" s="313"/>
      <c r="G44" s="364"/>
      <c r="H44" s="313"/>
      <c r="I44" s="271"/>
      <c r="J44" s="270"/>
      <c r="K44" s="328"/>
      <c r="L44" s="270"/>
      <c r="M44" s="382"/>
    </row>
    <row r="45" spans="1:13" s="213" customFormat="1" ht="13.5" customHeight="1" x14ac:dyDescent="0.45">
      <c r="A45" s="279"/>
      <c r="B45" s="383"/>
      <c r="C45" s="272"/>
      <c r="E45" s="272"/>
      <c r="G45" s="272"/>
      <c r="I45" s="272"/>
    </row>
    <row r="46" spans="1:13" ht="21.95" customHeight="1" x14ac:dyDescent="0.45"/>
    <row r="47" spans="1:13" ht="23.25" customHeight="1" x14ac:dyDescent="0.45">
      <c r="B47" s="14" t="s">
        <v>36</v>
      </c>
      <c r="H47" s="14" t="s">
        <v>36</v>
      </c>
    </row>
  </sheetData>
  <mergeCells count="4">
    <mergeCell ref="D33:L33"/>
    <mergeCell ref="H4:J4"/>
    <mergeCell ref="D9:L9"/>
    <mergeCell ref="H28:J28"/>
  </mergeCells>
  <phoneticPr fontId="14" type="noConversion"/>
  <pageMargins left="0.7" right="0.7" top="0.48" bottom="0.5" header="0.5" footer="0.5"/>
  <pageSetup paperSize="9" scale="88" firstPageNumber="7" orientation="landscape" useFirstPageNumber="1" r:id="rId1"/>
  <headerFooter alignWithMargins="0">
    <oddFooter>&amp;Lหมายเหตุประกอบงบการเงินเป็นส่วนหนึ่งของงบการเงินระหว่างกาลนี้
&amp;C&amp;P</oddFooter>
  </headerFooter>
  <rowBreaks count="1" manualBreakCount="1">
    <brk id="24" max="16383" man="1"/>
  </rowBreaks>
  <customProperties>
    <customPr name="QAA_DRILLPATH_NODE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F0000"/>
  </sheetPr>
  <dimension ref="A1:J59"/>
  <sheetViews>
    <sheetView view="pageBreakPreview" topLeftCell="A34" zoomScaleNormal="100" zoomScaleSheetLayoutView="100" workbookViewId="0">
      <selection activeCell="G50" sqref="G50"/>
    </sheetView>
  </sheetViews>
  <sheetFormatPr defaultColWidth="9.140625" defaultRowHeight="21.75" customHeight="1" x14ac:dyDescent="0.45"/>
  <cols>
    <col min="1" max="3" width="2.7109375" style="16" customWidth="1"/>
    <col min="4" max="4" width="43.140625" style="156" customWidth="1"/>
    <col min="5" max="5" width="8.85546875" style="38" customWidth="1"/>
    <col min="6" max="6" width="8.140625" style="16" customWidth="1"/>
    <col min="7" max="7" width="15.5703125" style="16" customWidth="1"/>
    <col min="8" max="8" width="2" style="16" customWidth="1"/>
    <col min="9" max="9" width="15.5703125" style="16" customWidth="1"/>
    <col min="10" max="10" width="17" style="16" customWidth="1"/>
    <col min="11" max="16384" width="9.140625" style="16"/>
  </cols>
  <sheetData>
    <row r="1" spans="1:10" ht="21.75" customHeight="1" x14ac:dyDescent="0.5">
      <c r="A1" s="160" t="s">
        <v>18</v>
      </c>
      <c r="B1" s="160"/>
      <c r="C1" s="160"/>
      <c r="D1" s="161"/>
      <c r="E1" s="29"/>
      <c r="F1" s="160"/>
      <c r="G1" s="438"/>
      <c r="H1" s="438"/>
      <c r="I1" s="438"/>
    </row>
    <row r="2" spans="1:10" ht="21.75" customHeight="1" x14ac:dyDescent="0.5">
      <c r="A2" s="437" t="s">
        <v>10</v>
      </c>
      <c r="B2" s="437"/>
      <c r="C2" s="437"/>
      <c r="D2" s="437"/>
      <c r="E2" s="437"/>
      <c r="F2" s="437"/>
      <c r="G2" s="437"/>
      <c r="H2" s="437"/>
      <c r="I2" s="437"/>
    </row>
    <row r="3" spans="1:10" ht="21.75" customHeight="1" x14ac:dyDescent="0.5">
      <c r="A3" s="437" t="s">
        <v>120</v>
      </c>
      <c r="B3" s="444"/>
      <c r="C3" s="444"/>
      <c r="D3" s="444"/>
      <c r="E3" s="444"/>
      <c r="F3" s="444"/>
      <c r="G3" s="444"/>
      <c r="H3" s="444"/>
      <c r="I3" s="444"/>
    </row>
    <row r="4" spans="1:10" ht="21.75" customHeight="1" x14ac:dyDescent="0.5">
      <c r="A4" s="20"/>
      <c r="B4" s="21"/>
      <c r="C4" s="21"/>
      <c r="D4" s="155"/>
      <c r="E4" s="21"/>
      <c r="F4" s="21"/>
      <c r="G4" s="21"/>
      <c r="H4" s="21"/>
      <c r="I4" s="21"/>
    </row>
    <row r="5" spans="1:10" ht="21.75" customHeight="1" x14ac:dyDescent="0.45">
      <c r="A5" s="17"/>
      <c r="B5" s="17"/>
      <c r="C5" s="17"/>
      <c r="E5" s="39" t="s">
        <v>15</v>
      </c>
      <c r="F5" s="43"/>
      <c r="G5" s="183" t="s">
        <v>121</v>
      </c>
      <c r="H5" s="47"/>
      <c r="I5" s="183" t="s">
        <v>101</v>
      </c>
    </row>
    <row r="6" spans="1:10" ht="21.75" customHeight="1" x14ac:dyDescent="0.45">
      <c r="A6" s="15"/>
      <c r="B6" s="15"/>
      <c r="C6" s="15"/>
      <c r="D6" s="157"/>
      <c r="E6" s="27"/>
      <c r="F6" s="48"/>
      <c r="G6" s="440" t="s">
        <v>33</v>
      </c>
      <c r="H6" s="440"/>
      <c r="I6" s="440"/>
    </row>
    <row r="7" spans="1:10" ht="21.75" customHeight="1" x14ac:dyDescent="0.45">
      <c r="A7" s="45" t="s">
        <v>11</v>
      </c>
      <c r="B7" s="4"/>
      <c r="C7" s="4"/>
      <c r="D7" s="6"/>
      <c r="E7" s="27"/>
      <c r="F7" s="49"/>
      <c r="G7" s="46"/>
      <c r="H7" s="13"/>
      <c r="I7" s="46"/>
    </row>
    <row r="8" spans="1:10" ht="21.75" customHeight="1" x14ac:dyDescent="0.45">
      <c r="A8" s="4" t="s">
        <v>97</v>
      </c>
      <c r="C8" s="9"/>
      <c r="D8" s="6"/>
      <c r="E8" s="28"/>
      <c r="F8" s="9"/>
      <c r="G8" s="190">
        <v>228144699</v>
      </c>
      <c r="H8" s="19"/>
      <c r="I8" s="36">
        <v>262129414</v>
      </c>
    </row>
    <row r="9" spans="1:10" ht="21.75" customHeight="1" x14ac:dyDescent="0.45">
      <c r="A9" s="4" t="s">
        <v>30</v>
      </c>
      <c r="B9" s="4"/>
      <c r="D9" s="158"/>
      <c r="E9" s="30"/>
      <c r="F9" s="7"/>
      <c r="G9" s="190">
        <v>21591707.880000003</v>
      </c>
      <c r="H9" s="19"/>
      <c r="I9" s="36">
        <v>16714714</v>
      </c>
      <c r="J9" s="186" t="s">
        <v>129</v>
      </c>
    </row>
    <row r="10" spans="1:10" ht="21.75" customHeight="1" x14ac:dyDescent="0.45">
      <c r="A10" t="s">
        <v>109</v>
      </c>
      <c r="B10" s="4"/>
      <c r="D10" s="158"/>
      <c r="E10" s="30"/>
      <c r="F10" s="7"/>
      <c r="G10" s="191"/>
      <c r="H10" s="19"/>
      <c r="I10" s="176">
        <v>5000000</v>
      </c>
    </row>
    <row r="11" spans="1:10" ht="21.75" customHeight="1" x14ac:dyDescent="0.45">
      <c r="A11" s="4" t="s">
        <v>48</v>
      </c>
      <c r="B11" s="4"/>
      <c r="D11" s="158"/>
      <c r="E11" s="30"/>
      <c r="F11" s="7"/>
      <c r="G11" s="190">
        <v>-66010995.719999999</v>
      </c>
      <c r="H11" s="36"/>
      <c r="I11" s="82">
        <v>-16981680</v>
      </c>
      <c r="J11" s="186" t="s">
        <v>130</v>
      </c>
    </row>
    <row r="12" spans="1:10" ht="21.75" customHeight="1" x14ac:dyDescent="0.45">
      <c r="A12" s="169" t="s">
        <v>117</v>
      </c>
      <c r="B12" s="4"/>
      <c r="D12" s="158"/>
      <c r="E12" s="30"/>
      <c r="F12" s="7"/>
      <c r="G12" s="191"/>
      <c r="H12" s="36"/>
      <c r="I12" s="82">
        <v>-40323354</v>
      </c>
    </row>
    <row r="13" spans="1:10" ht="21.75" customHeight="1" x14ac:dyDescent="0.45">
      <c r="A13" s="169" t="s">
        <v>107</v>
      </c>
      <c r="B13" s="4"/>
      <c r="D13" s="158"/>
      <c r="E13" s="30"/>
      <c r="F13" s="7"/>
      <c r="G13" s="190">
        <v>31372803.629999995</v>
      </c>
      <c r="H13" s="36"/>
      <c r="I13" s="82">
        <v>21585556</v>
      </c>
      <c r="J13" s="186" t="s">
        <v>131</v>
      </c>
    </row>
    <row r="14" spans="1:10" ht="21.75" customHeight="1" x14ac:dyDescent="0.45">
      <c r="A14" s="4" t="s">
        <v>42</v>
      </c>
      <c r="B14" s="9"/>
      <c r="D14" s="158"/>
      <c r="E14" s="30"/>
      <c r="G14" s="192"/>
      <c r="H14" s="19"/>
      <c r="I14" s="50">
        <v>0</v>
      </c>
    </row>
    <row r="15" spans="1:10" ht="21.75" customHeight="1" x14ac:dyDescent="0.45">
      <c r="A15" s="12" t="s">
        <v>133</v>
      </c>
      <c r="B15" s="9"/>
      <c r="C15" s="186"/>
      <c r="D15" s="158"/>
      <c r="E15" s="30"/>
      <c r="F15" s="186"/>
      <c r="G15" s="193">
        <v>-231875.87</v>
      </c>
      <c r="H15" s="19"/>
      <c r="I15" s="50"/>
    </row>
    <row r="16" spans="1:10" ht="21.75" customHeight="1" x14ac:dyDescent="0.45">
      <c r="A16" s="4" t="s">
        <v>124</v>
      </c>
      <c r="B16" s="9"/>
      <c r="D16" s="158"/>
      <c r="E16" s="30"/>
      <c r="G16" s="193">
        <v>1028427.5000000009</v>
      </c>
      <c r="H16" s="19"/>
      <c r="I16" s="179">
        <v>910599</v>
      </c>
    </row>
    <row r="17" spans="1:9" ht="21.75" customHeight="1" x14ac:dyDescent="0.45">
      <c r="A17" s="169" t="s">
        <v>110</v>
      </c>
      <c r="B17" s="9"/>
      <c r="D17" s="158"/>
      <c r="E17" s="30"/>
      <c r="F17" s="7"/>
      <c r="G17" s="193">
        <v>77139489</v>
      </c>
      <c r="H17" s="19"/>
      <c r="I17" s="50">
        <v>-3423032</v>
      </c>
    </row>
    <row r="18" spans="1:9" ht="21.75" customHeight="1" x14ac:dyDescent="0.45">
      <c r="A18" s="169" t="s">
        <v>114</v>
      </c>
      <c r="B18" s="9"/>
      <c r="D18" s="158"/>
      <c r="E18" s="30"/>
      <c r="F18" s="7"/>
      <c r="G18" s="196">
        <v>-84812079.629999995</v>
      </c>
      <c r="H18" s="197"/>
      <c r="I18" s="195">
        <v>-68515269</v>
      </c>
    </row>
    <row r="19" spans="1:9" ht="21.75" customHeight="1" x14ac:dyDescent="0.45">
      <c r="A19" s="22"/>
      <c r="C19" s="9"/>
      <c r="D19" s="6"/>
      <c r="E19" s="28"/>
      <c r="F19" s="9"/>
      <c r="G19" s="170">
        <f>SUM(G8:G18)</f>
        <v>208222175.78999996</v>
      </c>
      <c r="H19" s="81"/>
      <c r="I19" s="170">
        <f>SUM(I8:I18)</f>
        <v>177096948</v>
      </c>
    </row>
    <row r="20" spans="1:9" ht="21.75" customHeight="1" x14ac:dyDescent="0.45">
      <c r="A20" s="51" t="s">
        <v>125</v>
      </c>
      <c r="B20" s="162"/>
      <c r="C20" s="26"/>
      <c r="D20" s="6"/>
      <c r="E20" s="28"/>
      <c r="F20" s="9"/>
      <c r="G20" s="34"/>
      <c r="H20" s="34"/>
    </row>
    <row r="21" spans="1:9" ht="21.75" customHeight="1" x14ac:dyDescent="0.45">
      <c r="A21" s="4" t="s">
        <v>39</v>
      </c>
      <c r="B21" s="9"/>
      <c r="D21" s="158"/>
      <c r="E21" s="30"/>
      <c r="F21" s="7"/>
      <c r="G21" s="190">
        <v>-249868226.84</v>
      </c>
      <c r="H21" s="34"/>
      <c r="I21" s="34">
        <v>-369830212</v>
      </c>
    </row>
    <row r="22" spans="1:9" ht="21.75" customHeight="1" x14ac:dyDescent="0.45">
      <c r="A22" s="168" t="s">
        <v>105</v>
      </c>
      <c r="B22" s="9"/>
      <c r="D22" s="158"/>
      <c r="E22" s="30"/>
      <c r="F22" s="7"/>
      <c r="G22" s="190">
        <v>-1292737380.1300001</v>
      </c>
      <c r="H22" s="34"/>
      <c r="I22" s="34">
        <v>1594768505</v>
      </c>
    </row>
    <row r="23" spans="1:9" ht="21.75" customHeight="1" x14ac:dyDescent="0.45">
      <c r="A23" s="4" t="s">
        <v>12</v>
      </c>
      <c r="B23" s="9"/>
      <c r="D23" s="158"/>
      <c r="E23" s="30"/>
      <c r="F23" s="7"/>
      <c r="G23" s="191">
        <v>-11796414.42</v>
      </c>
      <c r="H23" s="34"/>
      <c r="I23" s="34">
        <v>-2819803</v>
      </c>
    </row>
    <row r="24" spans="1:9" ht="21.75" customHeight="1" x14ac:dyDescent="0.45">
      <c r="A24" s="9" t="s">
        <v>40</v>
      </c>
      <c r="B24" s="9"/>
      <c r="D24" s="6"/>
      <c r="E24" s="28"/>
      <c r="F24" s="9"/>
      <c r="G24" s="190">
        <v>169289882.63999999</v>
      </c>
      <c r="H24" s="34"/>
      <c r="I24" s="34">
        <v>-1378285451</v>
      </c>
    </row>
    <row r="25" spans="1:9" ht="21.75" customHeight="1" x14ac:dyDescent="0.45">
      <c r="A25" s="168" t="s">
        <v>46</v>
      </c>
      <c r="B25" s="9"/>
      <c r="D25" s="6"/>
      <c r="E25" s="28"/>
      <c r="F25" s="9"/>
      <c r="G25" s="190">
        <v>1176702643.6099999</v>
      </c>
      <c r="H25" s="34"/>
      <c r="I25" s="34">
        <v>38966889</v>
      </c>
    </row>
    <row r="26" spans="1:9" ht="21.75" customHeight="1" x14ac:dyDescent="0.45">
      <c r="A26" s="9" t="s">
        <v>4</v>
      </c>
      <c r="B26" s="9"/>
      <c r="D26" s="6"/>
      <c r="E26" s="28"/>
      <c r="F26" s="9"/>
      <c r="G26" s="190">
        <v>-9826668.4600000009</v>
      </c>
      <c r="H26" s="34"/>
      <c r="I26" s="82">
        <v>-7771828</v>
      </c>
    </row>
    <row r="27" spans="1:9" ht="21.75" customHeight="1" x14ac:dyDescent="0.45">
      <c r="A27" s="169" t="s">
        <v>118</v>
      </c>
      <c r="B27" s="9"/>
      <c r="D27" s="6"/>
      <c r="E27" s="28"/>
      <c r="F27" s="9"/>
      <c r="G27" s="190">
        <v>-30000945</v>
      </c>
      <c r="H27" s="34"/>
      <c r="I27" s="82">
        <v>40323354</v>
      </c>
    </row>
    <row r="28" spans="1:9" ht="21.75" customHeight="1" x14ac:dyDescent="0.45">
      <c r="A28" s="172" t="s">
        <v>115</v>
      </c>
      <c r="B28" s="9"/>
      <c r="D28" s="6"/>
      <c r="E28" s="28"/>
      <c r="F28" s="9"/>
      <c r="G28" s="82"/>
      <c r="H28" s="34"/>
      <c r="I28" s="34">
        <v>-16385102</v>
      </c>
    </row>
    <row r="29" spans="1:9" ht="21.75" customHeight="1" x14ac:dyDescent="0.45">
      <c r="A29" s="9" t="s">
        <v>100</v>
      </c>
      <c r="B29" s="9"/>
      <c r="D29" s="6"/>
      <c r="E29" s="28"/>
      <c r="F29" s="9"/>
      <c r="G29" s="191"/>
      <c r="H29" s="34"/>
      <c r="I29" s="34">
        <v>-98261934</v>
      </c>
    </row>
    <row r="30" spans="1:9" ht="21.75" customHeight="1" x14ac:dyDescent="0.45">
      <c r="A30" s="22" t="s">
        <v>111</v>
      </c>
      <c r="B30" s="9"/>
      <c r="C30" s="9"/>
      <c r="E30" s="28"/>
      <c r="F30" s="9"/>
      <c r="G30" s="52">
        <f>SUM(G19:G29)</f>
        <v>-40014932.810000144</v>
      </c>
      <c r="H30" s="41"/>
      <c r="I30" s="52">
        <f>SUM(I19:I29)</f>
        <v>-22198634</v>
      </c>
    </row>
    <row r="31" spans="1:9" ht="21.75" customHeight="1" x14ac:dyDescent="0.45">
      <c r="A31" s="22"/>
      <c r="B31" s="9"/>
      <c r="C31" s="9"/>
      <c r="E31" s="28"/>
      <c r="F31" s="9"/>
      <c r="G31" s="41"/>
      <c r="H31" s="41"/>
      <c r="I31" s="41"/>
    </row>
    <row r="32" spans="1:9" ht="21.75" customHeight="1" x14ac:dyDescent="0.5">
      <c r="A32" s="160" t="s">
        <v>18</v>
      </c>
      <c r="B32" s="160"/>
      <c r="C32" s="160"/>
      <c r="D32" s="161"/>
      <c r="E32" s="29"/>
      <c r="F32" s="160"/>
      <c r="G32" s="438"/>
      <c r="H32" s="438"/>
      <c r="I32" s="438"/>
    </row>
    <row r="33" spans="1:10" ht="21.75" customHeight="1" x14ac:dyDescent="0.5">
      <c r="A33" s="437" t="s">
        <v>10</v>
      </c>
      <c r="B33" s="437"/>
      <c r="C33" s="437"/>
      <c r="D33" s="437"/>
      <c r="E33" s="437"/>
      <c r="F33" s="437"/>
      <c r="G33" s="437"/>
      <c r="H33" s="437"/>
      <c r="I33" s="437"/>
    </row>
    <row r="34" spans="1:10" ht="21.75" customHeight="1" x14ac:dyDescent="0.5">
      <c r="A34" s="437" t="s">
        <v>120</v>
      </c>
      <c r="B34" s="444"/>
      <c r="C34" s="444"/>
      <c r="D34" s="444"/>
      <c r="E34" s="444"/>
      <c r="F34" s="444"/>
      <c r="G34" s="444"/>
      <c r="H34" s="444"/>
      <c r="I34" s="444"/>
    </row>
    <row r="35" spans="1:10" ht="21.75" customHeight="1" x14ac:dyDescent="0.5">
      <c r="A35" s="20"/>
      <c r="B35" s="21"/>
      <c r="C35" s="21"/>
      <c r="D35" s="155"/>
      <c r="E35" s="21"/>
      <c r="F35" s="21"/>
      <c r="G35" s="21"/>
      <c r="H35" s="21"/>
      <c r="I35" s="21"/>
      <c r="J35" s="182"/>
    </row>
    <row r="36" spans="1:10" ht="21.75" customHeight="1" x14ac:dyDescent="0.45">
      <c r="A36" s="17"/>
      <c r="B36" s="17"/>
      <c r="C36" s="17"/>
      <c r="E36" s="39" t="s">
        <v>15</v>
      </c>
      <c r="F36" s="43"/>
      <c r="G36" s="183" t="s">
        <v>121</v>
      </c>
      <c r="H36" s="47"/>
      <c r="I36" s="183" t="s">
        <v>101</v>
      </c>
    </row>
    <row r="37" spans="1:10" ht="21.75" customHeight="1" x14ac:dyDescent="0.45">
      <c r="A37" s="15"/>
      <c r="B37" s="15"/>
      <c r="C37" s="15"/>
      <c r="D37" s="157"/>
      <c r="E37" s="27"/>
      <c r="F37" s="48"/>
      <c r="G37" s="440" t="s">
        <v>33</v>
      </c>
      <c r="H37" s="440"/>
      <c r="I37" s="440"/>
    </row>
    <row r="38" spans="1:10" ht="21.75" customHeight="1" x14ac:dyDescent="0.45">
      <c r="A38" s="45" t="s">
        <v>13</v>
      </c>
      <c r="B38" s="57"/>
      <c r="C38" s="57"/>
      <c r="D38" s="158"/>
      <c r="E38" s="55"/>
      <c r="F38" s="57"/>
      <c r="G38" s="56"/>
      <c r="H38" s="54"/>
      <c r="I38" s="56"/>
    </row>
    <row r="39" spans="1:10" ht="21.75" customHeight="1" x14ac:dyDescent="0.45">
      <c r="A39" s="4" t="s">
        <v>41</v>
      </c>
      <c r="B39" s="57"/>
      <c r="C39" s="57"/>
      <c r="D39" s="158"/>
      <c r="E39" s="55"/>
      <c r="F39" s="57"/>
      <c r="G39" s="191">
        <v>-157564138.28999999</v>
      </c>
      <c r="H39" s="60"/>
      <c r="I39" s="59">
        <v>0</v>
      </c>
    </row>
    <row r="40" spans="1:10" ht="21.75" customHeight="1" x14ac:dyDescent="0.45">
      <c r="A40" s="169" t="s">
        <v>119</v>
      </c>
      <c r="B40" s="57"/>
      <c r="C40" s="57"/>
      <c r="D40" s="158"/>
      <c r="E40" s="55"/>
      <c r="F40" s="57"/>
      <c r="G40" s="187"/>
      <c r="H40" s="60"/>
      <c r="I40" s="177">
        <v>16981082</v>
      </c>
    </row>
    <row r="41" spans="1:10" ht="21.75" customHeight="1" x14ac:dyDescent="0.45">
      <c r="A41" s="4" t="s">
        <v>32</v>
      </c>
      <c r="B41" s="163"/>
      <c r="C41" s="57"/>
      <c r="D41" s="158"/>
      <c r="E41" s="55"/>
      <c r="F41" s="57"/>
      <c r="G41" s="190">
        <f>6184741.40000001-16941537.92</f>
        <v>-10756796.519999992</v>
      </c>
      <c r="H41" s="59"/>
      <c r="I41" s="72">
        <v>-17451916</v>
      </c>
    </row>
    <row r="42" spans="1:10" ht="21.75" customHeight="1" x14ac:dyDescent="0.45">
      <c r="A42" s="4" t="s">
        <v>49</v>
      </c>
      <c r="B42" s="163"/>
      <c r="C42" s="57"/>
      <c r="D42" s="158"/>
      <c r="E42" s="55"/>
      <c r="F42" s="57"/>
      <c r="G42" s="190">
        <f>5924077.66999999-4650169.96</f>
        <v>1273907.7099999897</v>
      </c>
      <c r="H42" s="59"/>
      <c r="I42" s="72">
        <v>-9037545</v>
      </c>
    </row>
    <row r="43" spans="1:10" ht="21.75" customHeight="1" x14ac:dyDescent="0.45">
      <c r="A43" s="22" t="s">
        <v>116</v>
      </c>
      <c r="B43" s="57"/>
      <c r="C43" s="57"/>
      <c r="E43" s="55"/>
      <c r="F43" s="57"/>
      <c r="G43" s="76">
        <f>SUM(G39:G42)</f>
        <v>-167047027.09999999</v>
      </c>
      <c r="H43" s="61"/>
      <c r="I43" s="76">
        <f>SUM(I39:I42)</f>
        <v>-9508379</v>
      </c>
    </row>
    <row r="44" spans="1:10" ht="21.75" customHeight="1" x14ac:dyDescent="0.45">
      <c r="A44" s="22"/>
      <c r="B44" s="57"/>
      <c r="C44" s="57"/>
      <c r="E44" s="55"/>
      <c r="F44" s="57"/>
      <c r="G44" s="188"/>
      <c r="H44" s="61"/>
      <c r="I44" s="73"/>
    </row>
    <row r="45" spans="1:10" ht="21.75" customHeight="1" x14ac:dyDescent="0.45">
      <c r="A45" s="45" t="s">
        <v>43</v>
      </c>
      <c r="E45" s="164"/>
      <c r="H45" s="46"/>
    </row>
    <row r="46" spans="1:10" ht="21.75" customHeight="1" x14ac:dyDescent="0.45">
      <c r="A46" s="169" t="s">
        <v>103</v>
      </c>
      <c r="E46" s="164"/>
      <c r="G46" s="194">
        <v>0</v>
      </c>
      <c r="H46" s="46"/>
      <c r="I46" s="59">
        <v>95000000</v>
      </c>
    </row>
    <row r="47" spans="1:10" ht="21.75" customHeight="1" x14ac:dyDescent="0.45">
      <c r="A47" s="169" t="s">
        <v>132</v>
      </c>
      <c r="E47" s="164"/>
      <c r="G47" s="194">
        <v>8715</v>
      </c>
      <c r="H47" s="46"/>
      <c r="I47" s="59"/>
    </row>
    <row r="48" spans="1:10" ht="21.75" customHeight="1" x14ac:dyDescent="0.45">
      <c r="A48" s="80" t="s">
        <v>44</v>
      </c>
      <c r="E48" s="164"/>
      <c r="G48" s="190">
        <v>1260753.8399999999</v>
      </c>
      <c r="H48" s="77"/>
      <c r="I48" s="79">
        <v>-1951009</v>
      </c>
    </row>
    <row r="49" spans="1:10" ht="21.75" customHeight="1" x14ac:dyDescent="0.45">
      <c r="A49" s="80" t="s">
        <v>99</v>
      </c>
      <c r="E49" s="164"/>
      <c r="G49" s="190">
        <v>-1371858.83</v>
      </c>
      <c r="H49" s="46"/>
      <c r="I49" s="173">
        <v>-5200454</v>
      </c>
    </row>
    <row r="50" spans="1:10" ht="21.75" customHeight="1" x14ac:dyDescent="0.45">
      <c r="A50" s="22" t="s">
        <v>112</v>
      </c>
      <c r="E50" s="164"/>
      <c r="G50" s="174">
        <f>SUM(G46:G49)</f>
        <v>-102389.99000000022</v>
      </c>
      <c r="H50" s="78"/>
      <c r="I50" s="174">
        <f>SUM(I46:I49)</f>
        <v>87848537</v>
      </c>
      <c r="J50" s="94"/>
    </row>
    <row r="51" spans="1:10" ht="21.75" customHeight="1" x14ac:dyDescent="0.45">
      <c r="E51" s="164"/>
      <c r="H51" s="46"/>
    </row>
    <row r="52" spans="1:10" s="162" customFormat="1" ht="21.75" customHeight="1" x14ac:dyDescent="0.45">
      <c r="A52" s="165" t="s">
        <v>113</v>
      </c>
      <c r="B52" s="58"/>
      <c r="C52" s="58"/>
      <c r="D52" s="159"/>
      <c r="E52" s="55"/>
      <c r="F52" s="57"/>
      <c r="G52" s="73">
        <v>-195401653.25</v>
      </c>
      <c r="H52" s="62"/>
      <c r="I52" s="73">
        <f>+I30+I43+I50</f>
        <v>56141524</v>
      </c>
      <c r="J52" s="185"/>
    </row>
    <row r="53" spans="1:10" s="162" customFormat="1" ht="21.75" customHeight="1" x14ac:dyDescent="0.45">
      <c r="A53" s="184" t="s">
        <v>126</v>
      </c>
      <c r="B53" s="58"/>
      <c r="C53" s="58"/>
      <c r="D53" s="159"/>
      <c r="E53" s="39">
        <v>5.0999999999999996</v>
      </c>
      <c r="F53" s="57"/>
      <c r="G53" s="74">
        <v>373975292</v>
      </c>
      <c r="H53" s="60"/>
      <c r="I53" s="171">
        <v>31645067</v>
      </c>
    </row>
    <row r="54" spans="1:10" ht="21.75" customHeight="1" thickBot="1" x14ac:dyDescent="0.5">
      <c r="A54" s="165" t="s">
        <v>127</v>
      </c>
      <c r="B54" s="57"/>
      <c r="C54" s="57"/>
      <c r="D54" s="6"/>
      <c r="E54" s="39">
        <v>5.0999999999999996</v>
      </c>
      <c r="F54" s="57"/>
      <c r="G54" s="75">
        <v>178573639</v>
      </c>
      <c r="H54" s="62"/>
      <c r="I54" s="75">
        <f>SUM(I52:I53)</f>
        <v>87786591</v>
      </c>
    </row>
    <row r="55" spans="1:10" s="162" customFormat="1" ht="21.75" customHeight="1" thickTop="1" x14ac:dyDescent="0.45">
      <c r="A55" s="166"/>
      <c r="B55" s="58"/>
      <c r="C55" s="58"/>
      <c r="D55" s="159"/>
      <c r="E55" s="39"/>
      <c r="F55" s="57"/>
      <c r="G55" s="72">
        <f>G30+G43+G50</f>
        <v>-207164349.90000015</v>
      </c>
      <c r="H55" s="60"/>
      <c r="I55" s="178"/>
    </row>
    <row r="56" spans="1:10" ht="21.75" customHeight="1" x14ac:dyDescent="0.45">
      <c r="A56" s="165"/>
      <c r="B56" s="57"/>
      <c r="C56" s="57"/>
      <c r="D56" s="6"/>
      <c r="E56" s="39"/>
      <c r="F56" s="57"/>
      <c r="G56" s="73">
        <f>G52-G55</f>
        <v>11762696.650000155</v>
      </c>
      <c r="H56" s="62"/>
      <c r="I56" s="73"/>
    </row>
    <row r="57" spans="1:10" ht="21.75" customHeight="1" x14ac:dyDescent="0.45">
      <c r="G57" s="189"/>
      <c r="H57" s="180"/>
      <c r="I57" s="180"/>
    </row>
    <row r="58" spans="1:10" ht="21.75" customHeight="1" x14ac:dyDescent="0.45">
      <c r="D58" s="167"/>
      <c r="G58" s="88"/>
      <c r="I58" s="88"/>
    </row>
    <row r="59" spans="1:10" ht="21.75" customHeight="1" x14ac:dyDescent="0.45">
      <c r="G59" s="181"/>
      <c r="I59" s="181"/>
    </row>
  </sheetData>
  <mergeCells count="8">
    <mergeCell ref="A34:I34"/>
    <mergeCell ref="G37:I37"/>
    <mergeCell ref="G1:I1"/>
    <mergeCell ref="A2:I2"/>
    <mergeCell ref="A3:I3"/>
    <mergeCell ref="G6:I6"/>
    <mergeCell ref="G32:I32"/>
    <mergeCell ref="A33:I33"/>
  </mergeCells>
  <phoneticPr fontId="14" type="noConversion"/>
  <dataValidations count="1">
    <dataValidation allowBlank="1" showInputMessage="1" showErrorMessage="1" prompt="จำนวนงิน_x000a_" sqref="G57:G93 I59 I52 G55 G51:G53 I46:I47 G44:G49 G20:G29 I33 G35:G42 G31:G33 G7:G18 I10" xr:uid="{00000000-0002-0000-0300-000000000000}"/>
  </dataValidations>
  <pageMargins left="0.8" right="0.37" top="0.48" bottom="0.5" header="0.5" footer="0.5"/>
  <pageSetup paperSize="9" firstPageNumber="8" orientation="portrait" useFirstPageNumber="1" r:id="rId1"/>
  <headerFooter alignWithMargins="0">
    <oddFooter>&amp;L     หมายเหตุประกอบงบการเงินเป็นส่วนหนึ่งของงบการเงินนี้
&amp;C&amp;P</oddFooter>
  </headerFooter>
  <rowBreaks count="1" manualBreakCount="1">
    <brk id="31" max="8" man="1"/>
  </rowBreaks>
  <customProperties>
    <customPr name="QAA_DRILLPATH_NODE_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Q46"/>
  <sheetViews>
    <sheetView view="pageBreakPreview" zoomScale="60" zoomScaleNormal="100" workbookViewId="0">
      <selection activeCell="I3" sqref="I3"/>
    </sheetView>
  </sheetViews>
  <sheetFormatPr defaultColWidth="9.140625" defaultRowHeight="21.75" x14ac:dyDescent="0.45"/>
  <cols>
    <col min="1" max="3" width="2.7109375" style="215" customWidth="1"/>
    <col min="4" max="4" width="5.7109375" style="215" customWidth="1"/>
    <col min="5" max="5" width="26.5703125" style="215" customWidth="1"/>
    <col min="6" max="7" width="10.85546875" style="215" hidden="1" customWidth="1"/>
    <col min="8" max="9" width="20.85546875" style="261" customWidth="1"/>
    <col min="10" max="10" width="20" style="215" customWidth="1"/>
    <col min="11" max="11" width="17.7109375" style="215" bestFit="1" customWidth="1"/>
    <col min="12" max="12" width="4.42578125" style="215" bestFit="1" customWidth="1"/>
    <col min="13" max="13" width="9.7109375" style="215" customWidth="1"/>
    <col min="14" max="14" width="23" style="215" bestFit="1" customWidth="1"/>
    <col min="15" max="15" width="18.140625" style="215" bestFit="1" customWidth="1"/>
    <col min="16" max="16" width="17" style="215" bestFit="1" customWidth="1"/>
    <col min="17" max="17" width="19.140625" style="215" customWidth="1"/>
    <col min="18" max="16384" width="9.140625" style="215"/>
  </cols>
  <sheetData>
    <row r="1" spans="1:12" ht="21.75" customHeight="1" x14ac:dyDescent="0.45">
      <c r="A1" s="445" t="s">
        <v>18</v>
      </c>
      <c r="B1" s="445"/>
      <c r="C1" s="445"/>
      <c r="D1" s="445"/>
      <c r="E1" s="445"/>
      <c r="F1" s="445"/>
      <c r="G1" s="445"/>
      <c r="H1" s="445"/>
      <c r="I1" s="445"/>
    </row>
    <row r="2" spans="1:12" ht="12" customHeight="1" x14ac:dyDescent="0.45">
      <c r="A2" s="445"/>
      <c r="B2" s="445"/>
      <c r="C2" s="445"/>
      <c r="D2" s="445"/>
      <c r="E2" s="445"/>
      <c r="F2" s="445"/>
      <c r="G2" s="445"/>
      <c r="H2" s="445"/>
      <c r="I2" s="445"/>
    </row>
    <row r="3" spans="1:12" ht="21.75" customHeight="1" x14ac:dyDescent="0.45">
      <c r="A3" s="220" t="s">
        <v>1</v>
      </c>
      <c r="B3" s="220"/>
      <c r="C3" s="216"/>
      <c r="D3" s="216"/>
      <c r="E3" s="216"/>
      <c r="F3" s="216"/>
      <c r="G3" s="216"/>
      <c r="H3" s="263">
        <v>41455</v>
      </c>
      <c r="I3" s="263">
        <v>41274</v>
      </c>
      <c r="J3" s="217" t="s">
        <v>50</v>
      </c>
    </row>
    <row r="4" spans="1:12" ht="10.5" customHeight="1" x14ac:dyDescent="0.45">
      <c r="A4" s="218"/>
      <c r="B4" s="218"/>
      <c r="C4" s="218"/>
      <c r="D4" s="218"/>
      <c r="F4" s="219"/>
      <c r="G4" s="219"/>
      <c r="H4" s="252"/>
      <c r="I4" s="252"/>
    </row>
    <row r="5" spans="1:12" ht="21.75" customHeight="1" x14ac:dyDescent="0.45">
      <c r="A5" s="220" t="s">
        <v>22</v>
      </c>
      <c r="B5" s="221"/>
      <c r="C5" s="221"/>
      <c r="D5" s="221"/>
      <c r="E5" s="221"/>
      <c r="F5" s="222"/>
      <c r="G5" s="222"/>
      <c r="H5" s="253">
        <f>[4]BL1_New!B8</f>
        <v>789772846.75</v>
      </c>
      <c r="I5" s="252">
        <v>234549191.52000001</v>
      </c>
      <c r="J5" s="223">
        <f>+H5-I5</f>
        <v>555223655.23000002</v>
      </c>
    </row>
    <row r="6" spans="1:12" ht="21.75" customHeight="1" x14ac:dyDescent="0.45">
      <c r="A6" s="220" t="s">
        <v>51</v>
      </c>
      <c r="C6" s="224"/>
      <c r="D6" s="224"/>
      <c r="E6" s="224"/>
      <c r="F6" s="225"/>
      <c r="G6" s="225"/>
      <c r="H6" s="253"/>
      <c r="I6" s="254"/>
      <c r="J6" s="226">
        <f t="shared" ref="J6:J19" si="0">+H6-I6</f>
        <v>0</v>
      </c>
    </row>
    <row r="7" spans="1:12" ht="21.75" customHeight="1" x14ac:dyDescent="0.45">
      <c r="A7" s="227" t="s">
        <v>52</v>
      </c>
      <c r="B7" s="228"/>
      <c r="C7" s="228"/>
      <c r="E7" s="228"/>
      <c r="F7" s="222"/>
      <c r="G7" s="222"/>
      <c r="H7" s="253">
        <f>[4]BL1_New!B12</f>
        <v>25002783.440000001</v>
      </c>
      <c r="I7" s="252">
        <v>239533966</v>
      </c>
      <c r="J7" s="229">
        <f t="shared" si="0"/>
        <v>-214531182.56</v>
      </c>
      <c r="K7" s="230">
        <v>2</v>
      </c>
    </row>
    <row r="8" spans="1:12" ht="21.75" customHeight="1" x14ac:dyDescent="0.45">
      <c r="A8" s="227" t="s">
        <v>53</v>
      </c>
      <c r="B8" s="228"/>
      <c r="C8" s="228"/>
      <c r="E8" s="228"/>
      <c r="F8" s="222"/>
      <c r="G8" s="222"/>
      <c r="H8" s="253">
        <f>[4]BL1_New!B13</f>
        <v>1000000</v>
      </c>
      <c r="I8" s="252">
        <v>1000000</v>
      </c>
      <c r="J8" s="226">
        <f t="shared" si="0"/>
        <v>0</v>
      </c>
    </row>
    <row r="9" spans="1:12" ht="21.75" customHeight="1" x14ac:dyDescent="0.45">
      <c r="A9" s="227" t="s">
        <v>54</v>
      </c>
      <c r="B9" s="228"/>
      <c r="C9" s="228"/>
      <c r="E9" s="228"/>
      <c r="F9" s="222"/>
      <c r="G9" s="222"/>
      <c r="H9" s="253"/>
      <c r="I9" s="252"/>
      <c r="J9" s="226">
        <f t="shared" si="0"/>
        <v>0</v>
      </c>
    </row>
    <row r="10" spans="1:12" ht="22.5" customHeight="1" x14ac:dyDescent="0.45">
      <c r="A10" s="227" t="s">
        <v>39</v>
      </c>
      <c r="B10" s="228"/>
      <c r="C10" s="228"/>
      <c r="E10" s="228"/>
      <c r="F10" s="222"/>
      <c r="G10" s="222"/>
      <c r="H10" s="253">
        <f>[4]BL1_New!B15</f>
        <v>1269171569.79</v>
      </c>
      <c r="I10" s="252">
        <v>128238359.04000001</v>
      </c>
      <c r="J10" s="223">
        <f t="shared" si="0"/>
        <v>1140933210.75</v>
      </c>
      <c r="K10" s="226">
        <f>SUM(J10:J11)</f>
        <v>1753925465.3699999</v>
      </c>
      <c r="L10" s="231">
        <v>3.1</v>
      </c>
    </row>
    <row r="11" spans="1:12" ht="22.5" customHeight="1" x14ac:dyDescent="0.45">
      <c r="A11" s="227" t="s">
        <v>45</v>
      </c>
      <c r="B11" s="228"/>
      <c r="C11" s="228"/>
      <c r="E11" s="228"/>
      <c r="F11" s="222"/>
      <c r="G11" s="222"/>
      <c r="H11" s="253">
        <f>[4]BL1_New!B16</f>
        <v>4662115784.71</v>
      </c>
      <c r="I11" s="252">
        <v>4049123530.0900002</v>
      </c>
      <c r="J11" s="223">
        <f t="shared" si="0"/>
        <v>612992254.61999989</v>
      </c>
    </row>
    <row r="12" spans="1:12" ht="21.75" customHeight="1" x14ac:dyDescent="0.45">
      <c r="A12" s="215" t="s">
        <v>55</v>
      </c>
      <c r="B12" s="224"/>
      <c r="C12" s="224"/>
      <c r="D12" s="228"/>
      <c r="E12" s="228"/>
      <c r="F12" s="222"/>
      <c r="G12" s="222"/>
      <c r="H12" s="253">
        <f>[4]BL1_New!B22</f>
        <v>237527437.03999999</v>
      </c>
      <c r="I12" s="252">
        <v>219457342.88999999</v>
      </c>
      <c r="J12" s="232">
        <f t="shared" si="0"/>
        <v>18070094.150000006</v>
      </c>
    </row>
    <row r="13" spans="1:12" ht="21.75" customHeight="1" x14ac:dyDescent="0.45">
      <c r="A13" s="227" t="s">
        <v>56</v>
      </c>
      <c r="B13" s="228"/>
      <c r="C13" s="228"/>
      <c r="D13" s="228"/>
      <c r="E13" s="228"/>
      <c r="F13" s="222"/>
      <c r="G13" s="222"/>
      <c r="H13" s="253">
        <f>[4]BL1_New!B23</f>
        <v>42517745.960000001</v>
      </c>
      <c r="I13" s="252">
        <v>45879936.270000003</v>
      </c>
      <c r="J13" s="232">
        <f t="shared" si="0"/>
        <v>-3362190.3100000024</v>
      </c>
      <c r="K13" s="226"/>
    </row>
    <row r="14" spans="1:12" ht="21.75" customHeight="1" x14ac:dyDescent="0.45">
      <c r="A14" s="227" t="s">
        <v>57</v>
      </c>
      <c r="B14" s="228"/>
      <c r="C14" s="228"/>
      <c r="D14" s="228"/>
      <c r="E14" s="228"/>
      <c r="F14" s="222"/>
      <c r="G14" s="222"/>
      <c r="H14" s="253">
        <v>0</v>
      </c>
      <c r="I14" s="252">
        <v>0</v>
      </c>
      <c r="J14" s="226">
        <f t="shared" si="0"/>
        <v>0</v>
      </c>
      <c r="K14" s="226"/>
    </row>
    <row r="15" spans="1:12" ht="21.75" customHeight="1" x14ac:dyDescent="0.45">
      <c r="A15" s="227" t="s">
        <v>58</v>
      </c>
      <c r="B15" s="228"/>
      <c r="C15" s="228"/>
      <c r="D15" s="228"/>
      <c r="E15" s="228"/>
      <c r="F15" s="222"/>
      <c r="G15" s="222"/>
      <c r="H15" s="253">
        <f>[4]BL1_New!B25</f>
        <v>66865515.369999997</v>
      </c>
      <c r="I15" s="252">
        <v>83635995.760000005</v>
      </c>
      <c r="J15" s="223">
        <f t="shared" si="0"/>
        <v>-16770480.390000008</v>
      </c>
      <c r="K15" s="226">
        <f>H15+H18</f>
        <v>157732707.68000001</v>
      </c>
    </row>
    <row r="16" spans="1:12" ht="21.75" customHeight="1" x14ac:dyDescent="0.45">
      <c r="A16" s="227" t="s">
        <v>128</v>
      </c>
      <c r="B16" s="228"/>
      <c r="C16" s="228"/>
      <c r="D16" s="228"/>
      <c r="E16" s="228"/>
      <c r="F16" s="222"/>
      <c r="G16" s="222"/>
      <c r="H16" s="253">
        <f>[4]BL1_New!B21</f>
        <v>4137046.6</v>
      </c>
      <c r="I16" s="252">
        <v>-2005556.83</v>
      </c>
      <c r="J16" s="214">
        <f t="shared" si="0"/>
        <v>6142603.4299999997</v>
      </c>
      <c r="K16" s="226"/>
    </row>
    <row r="17" spans="1:17" ht="21.75" customHeight="1" x14ac:dyDescent="0.45">
      <c r="A17" s="227" t="s">
        <v>144</v>
      </c>
      <c r="B17" s="228"/>
      <c r="C17" s="228"/>
      <c r="D17" s="228"/>
      <c r="E17" s="228"/>
      <c r="F17" s="222"/>
      <c r="G17" s="222"/>
      <c r="H17" s="253">
        <f>[4]BL1_New!B35</f>
        <v>15125036.18</v>
      </c>
      <c r="I17" s="252">
        <v>12313899.609999999</v>
      </c>
      <c r="J17" s="214">
        <f t="shared" si="0"/>
        <v>2811136.5700000003</v>
      </c>
      <c r="K17" s="226"/>
    </row>
    <row r="18" spans="1:17" ht="21.75" customHeight="1" x14ac:dyDescent="0.45">
      <c r="A18" s="228" t="s">
        <v>12</v>
      </c>
      <c r="B18" s="224"/>
      <c r="C18" s="224"/>
      <c r="D18" s="220"/>
      <c r="E18" s="228"/>
      <c r="F18" s="222"/>
      <c r="G18" s="222"/>
      <c r="H18" s="253">
        <f>SUM([4]BL1_New!B26:B28)</f>
        <v>90867192.310000002</v>
      </c>
      <c r="I18" s="255">
        <v>64687404.07</v>
      </c>
      <c r="J18" s="214">
        <f t="shared" si="0"/>
        <v>26179788.240000002</v>
      </c>
      <c r="K18" s="230">
        <v>3.2</v>
      </c>
      <c r="L18" s="231"/>
      <c r="M18" s="226"/>
      <c r="O18" s="226"/>
    </row>
    <row r="19" spans="1:17" ht="27" customHeight="1" thickBot="1" x14ac:dyDescent="0.5">
      <c r="A19" s="233" t="s">
        <v>2</v>
      </c>
      <c r="B19" s="224"/>
      <c r="C19" s="224"/>
      <c r="E19" s="220"/>
      <c r="F19" s="222"/>
      <c r="G19" s="222"/>
      <c r="H19" s="253">
        <f>SUM(H5:H18)</f>
        <v>7204102958.1500015</v>
      </c>
      <c r="I19" s="256">
        <v>5076414068.4200001</v>
      </c>
      <c r="J19" s="226">
        <f t="shared" si="0"/>
        <v>2127688889.7300014</v>
      </c>
      <c r="K19" s="230"/>
      <c r="L19" s="234"/>
      <c r="M19" s="226"/>
      <c r="N19" s="226"/>
    </row>
    <row r="20" spans="1:17" ht="17.25" customHeight="1" thickTop="1" x14ac:dyDescent="0.45">
      <c r="A20" s="233"/>
      <c r="B20" s="224"/>
      <c r="C20" s="224"/>
      <c r="E20" s="220"/>
      <c r="F20" s="222"/>
      <c r="G20" s="222"/>
      <c r="H20" s="253"/>
      <c r="I20" s="252"/>
      <c r="J20" s="226"/>
      <c r="L20" s="234"/>
    </row>
    <row r="21" spans="1:17" ht="21.75" customHeight="1" x14ac:dyDescent="0.45">
      <c r="A21" s="216" t="s">
        <v>3</v>
      </c>
      <c r="B21" s="216"/>
      <c r="C21" s="216"/>
      <c r="D21" s="216"/>
      <c r="E21" s="216"/>
      <c r="F21" s="235"/>
      <c r="G21" s="235"/>
      <c r="H21" s="253"/>
      <c r="I21" s="251"/>
      <c r="J21" s="226"/>
    </row>
    <row r="22" spans="1:17" ht="21.75" customHeight="1" x14ac:dyDescent="0.45">
      <c r="A22" s="218" t="s">
        <v>60</v>
      </c>
      <c r="B22" s="216"/>
      <c r="C22" s="216"/>
      <c r="D22" s="216"/>
      <c r="E22" s="216"/>
      <c r="F22" s="235"/>
      <c r="G22" s="235"/>
      <c r="H22" s="253">
        <f>[4]BL1_New!B40</f>
        <v>200000000</v>
      </c>
      <c r="I22" s="252">
        <v>200000000</v>
      </c>
      <c r="J22" s="229">
        <f t="shared" ref="J22:J44" si="1">+H22-I22</f>
        <v>0</v>
      </c>
      <c r="K22" s="236"/>
      <c r="N22" s="215" t="s">
        <v>61</v>
      </c>
      <c r="O22" s="237">
        <v>41455</v>
      </c>
      <c r="P22" s="237">
        <v>41274</v>
      </c>
      <c r="Q22" s="238" t="s">
        <v>50</v>
      </c>
    </row>
    <row r="23" spans="1:17" ht="21.75" customHeight="1" x14ac:dyDescent="0.45">
      <c r="A23" s="227" t="s">
        <v>40</v>
      </c>
      <c r="B23" s="239"/>
      <c r="C23" s="239"/>
      <c r="D23" s="239"/>
      <c r="E23" s="239"/>
      <c r="F23" s="240"/>
      <c r="G23" s="240"/>
      <c r="H23" s="253">
        <f>[4]BL1_New!B42</f>
        <v>237458388.33000001</v>
      </c>
      <c r="I23" s="257">
        <v>501571589.44999999</v>
      </c>
      <c r="J23" s="223">
        <f t="shared" si="1"/>
        <v>-264113201.11999997</v>
      </c>
      <c r="M23" s="215">
        <v>232110</v>
      </c>
      <c r="N23" s="215" t="s">
        <v>62</v>
      </c>
      <c r="O23" s="241">
        <f>-'[4]TB 30.6.2013'!F128</f>
        <v>3565606182.3499999</v>
      </c>
      <c r="P23" s="241">
        <v>2285309919.6999998</v>
      </c>
      <c r="Q23" s="241">
        <f>+O23-P23</f>
        <v>1280296262.6500001</v>
      </c>
    </row>
    <row r="24" spans="1:17" ht="21.75" customHeight="1" x14ac:dyDescent="0.45">
      <c r="A24" s="227" t="s">
        <v>46</v>
      </c>
      <c r="B24" s="239"/>
      <c r="C24" s="239"/>
      <c r="D24" s="239"/>
      <c r="E24" s="239"/>
      <c r="F24" s="240"/>
      <c r="G24" s="240"/>
      <c r="H24" s="253">
        <f>[4]BL1_New!B43</f>
        <v>3686586867.1999998</v>
      </c>
      <c r="I24" s="257">
        <v>1898792377.96</v>
      </c>
      <c r="J24" s="223">
        <f t="shared" si="1"/>
        <v>1787794489.2399998</v>
      </c>
      <c r="K24" s="226">
        <f>SUM(J23:J24)-Q30</f>
        <v>71395185.960000992</v>
      </c>
      <c r="L24" s="231">
        <v>6.1</v>
      </c>
      <c r="M24" s="215">
        <v>232111</v>
      </c>
      <c r="N24" s="215" t="s">
        <v>63</v>
      </c>
      <c r="O24" s="241">
        <f>-'[4]TB 30.6.2013'!F129</f>
        <v>897135100.54999995</v>
      </c>
      <c r="P24" s="241">
        <v>719618429.54999995</v>
      </c>
      <c r="Q24" s="241">
        <f>+O24-P24</f>
        <v>177516671</v>
      </c>
    </row>
    <row r="25" spans="1:17" ht="21.75" customHeight="1" x14ac:dyDescent="0.45">
      <c r="A25" s="214" t="s">
        <v>145</v>
      </c>
      <c r="B25" s="239"/>
      <c r="C25" s="239"/>
      <c r="D25" s="239"/>
      <c r="E25" s="239"/>
      <c r="F25" s="240"/>
      <c r="G25" s="240"/>
      <c r="H25" s="253">
        <f>[4]BL1_New!B44</f>
        <v>59945186.759999998</v>
      </c>
      <c r="I25" s="257">
        <v>135050270.09999999</v>
      </c>
      <c r="J25" s="223">
        <f t="shared" si="1"/>
        <v>-75105083.340000004</v>
      </c>
      <c r="K25" s="226"/>
      <c r="L25" s="231"/>
      <c r="O25" s="241"/>
      <c r="P25" s="241"/>
      <c r="Q25" s="241"/>
    </row>
    <row r="26" spans="1:17" ht="21.75" customHeight="1" x14ac:dyDescent="0.45">
      <c r="A26" s="242" t="s">
        <v>16</v>
      </c>
      <c r="B26" s="243"/>
      <c r="C26" s="242"/>
      <c r="D26" s="243"/>
      <c r="E26" s="243"/>
      <c r="F26" s="244"/>
      <c r="G26" s="244"/>
      <c r="H26" s="253">
        <f>[4]BL1_New!B49</f>
        <v>359668676.51999998</v>
      </c>
      <c r="I26" s="252">
        <v>224811467.74000001</v>
      </c>
      <c r="J26" s="223">
        <f t="shared" si="1"/>
        <v>134857208.77999997</v>
      </c>
      <c r="L26" s="231">
        <v>5</v>
      </c>
      <c r="M26" s="215">
        <v>232112</v>
      </c>
      <c r="N26" s="215" t="s">
        <v>64</v>
      </c>
      <c r="O26" s="241">
        <f>-'[4]TB 30.6.2013'!F130</f>
        <v>336655457.48000002</v>
      </c>
      <c r="P26" s="241">
        <v>342182288.97000003</v>
      </c>
      <c r="Q26" s="241">
        <f>+O26-P26</f>
        <v>-5526831.4900000095</v>
      </c>
    </row>
    <row r="27" spans="1:17" ht="21.75" customHeight="1" x14ac:dyDescent="0.45">
      <c r="A27" s="242" t="s">
        <v>146</v>
      </c>
      <c r="B27" s="243"/>
      <c r="C27" s="242"/>
      <c r="D27" s="243"/>
      <c r="E27" s="243"/>
      <c r="F27" s="244"/>
      <c r="G27" s="244"/>
      <c r="H27" s="253">
        <f>-'[4]TB 30.6.2013'!F147</f>
        <v>39223543.340000004</v>
      </c>
      <c r="I27" s="252">
        <v>39223543.340000004</v>
      </c>
      <c r="J27" s="223">
        <f t="shared" si="1"/>
        <v>0</v>
      </c>
      <c r="L27" s="231"/>
      <c r="O27" s="241"/>
      <c r="P27" s="241"/>
      <c r="Q27" s="241"/>
    </row>
    <row r="28" spans="1:17" ht="21.75" customHeight="1" x14ac:dyDescent="0.45">
      <c r="A28" s="242" t="s">
        <v>147</v>
      </c>
      <c r="B28" s="243"/>
      <c r="C28" s="242"/>
      <c r="D28" s="243"/>
      <c r="E28" s="243"/>
      <c r="F28" s="244"/>
      <c r="G28" s="244"/>
      <c r="H28" s="253">
        <f>-'[4]TB 30.6.2013'!F148</f>
        <v>42742561.079999998</v>
      </c>
      <c r="I28" s="252">
        <v>42742561.079999998</v>
      </c>
      <c r="J28" s="223">
        <f t="shared" si="1"/>
        <v>0</v>
      </c>
      <c r="L28" s="231"/>
      <c r="O28" s="241"/>
      <c r="P28" s="241"/>
      <c r="Q28" s="241"/>
    </row>
    <row r="29" spans="1:17" ht="21.75" customHeight="1" x14ac:dyDescent="0.45">
      <c r="A29" s="242" t="s">
        <v>148</v>
      </c>
      <c r="B29" s="243"/>
      <c r="C29" s="242"/>
      <c r="D29" s="243"/>
      <c r="E29" s="243"/>
      <c r="F29" s="244"/>
      <c r="G29" s="244"/>
      <c r="H29" s="253">
        <f>[4]BL1_New!B54</f>
        <v>0</v>
      </c>
      <c r="I29" s="252">
        <v>0</v>
      </c>
      <c r="J29" s="223">
        <f t="shared" si="1"/>
        <v>0</v>
      </c>
      <c r="L29" s="231"/>
      <c r="O29" s="241"/>
      <c r="P29" s="241"/>
      <c r="Q29" s="241"/>
    </row>
    <row r="30" spans="1:17" ht="21.75" customHeight="1" thickBot="1" x14ac:dyDescent="0.5">
      <c r="A30" s="242" t="s">
        <v>4</v>
      </c>
      <c r="B30" s="243"/>
      <c r="C30" s="242"/>
      <c r="D30" s="243"/>
      <c r="E30" s="243"/>
      <c r="F30" s="244"/>
      <c r="G30" s="244"/>
      <c r="H30" s="253">
        <f>[4]BL1_New!B46+[4]BL1_New!B51+[4]BL1_New!B53-H27-H28</f>
        <v>29448536.319999993</v>
      </c>
      <c r="I30" s="255">
        <v>19960731.890000001</v>
      </c>
      <c r="J30" s="223">
        <f t="shared" si="1"/>
        <v>9487804.4299999923</v>
      </c>
      <c r="L30" s="231">
        <v>6</v>
      </c>
      <c r="N30" s="230" t="s">
        <v>67</v>
      </c>
      <c r="O30" s="245">
        <f>SUM(O23:O26)</f>
        <v>4799396740.3799992</v>
      </c>
      <c r="P30" s="245">
        <v>3347110638.2200003</v>
      </c>
      <c r="Q30" s="245">
        <f>+O30-P30</f>
        <v>1452286102.1599989</v>
      </c>
    </row>
    <row r="31" spans="1:17" ht="21.75" customHeight="1" thickTop="1" x14ac:dyDescent="0.45">
      <c r="A31" s="246" t="s">
        <v>5</v>
      </c>
      <c r="B31" s="242"/>
      <c r="C31" s="242"/>
      <c r="E31" s="243"/>
      <c r="F31" s="244"/>
      <c r="G31" s="244"/>
      <c r="H31" s="253">
        <f>SUM(H22:H30)</f>
        <v>4655073759.5499992</v>
      </c>
      <c r="I31" s="251">
        <v>3062152541.5599999</v>
      </c>
      <c r="J31" s="226">
        <f t="shared" si="1"/>
        <v>1592921217.9899993</v>
      </c>
      <c r="L31" s="214" t="s">
        <v>149</v>
      </c>
      <c r="N31" s="230" t="s">
        <v>68</v>
      </c>
    </row>
    <row r="32" spans="1:17" ht="21.75" customHeight="1" x14ac:dyDescent="0.45">
      <c r="A32" s="247" t="s">
        <v>6</v>
      </c>
      <c r="B32" s="242"/>
      <c r="C32" s="242"/>
      <c r="D32" s="243"/>
      <c r="E32" s="243"/>
      <c r="F32" s="244"/>
      <c r="G32" s="244"/>
      <c r="H32" s="253"/>
      <c r="I32" s="252"/>
      <c r="J32" s="226">
        <f t="shared" si="1"/>
        <v>0</v>
      </c>
    </row>
    <row r="33" spans="1:11" ht="21.75" customHeight="1" x14ac:dyDescent="0.45">
      <c r="A33" s="247" t="s">
        <v>14</v>
      </c>
      <c r="C33" s="242"/>
      <c r="D33" s="243"/>
      <c r="E33" s="243"/>
      <c r="F33" s="244"/>
      <c r="G33" s="244"/>
      <c r="H33" s="253"/>
      <c r="I33" s="252"/>
      <c r="J33" s="226">
        <f t="shared" si="1"/>
        <v>0</v>
      </c>
    </row>
    <row r="34" spans="1:11" ht="21.75" customHeight="1" x14ac:dyDescent="0.45">
      <c r="A34" s="242" t="s">
        <v>34</v>
      </c>
      <c r="C34" s="242"/>
      <c r="D34" s="243"/>
      <c r="E34" s="243"/>
      <c r="F34" s="244"/>
      <c r="G34" s="244"/>
      <c r="H34" s="253"/>
      <c r="I34" s="252"/>
      <c r="J34" s="226">
        <f t="shared" si="1"/>
        <v>0</v>
      </c>
    </row>
    <row r="35" spans="1:11" ht="21.75" customHeight="1" thickBot="1" x14ac:dyDescent="0.5">
      <c r="A35" s="242" t="s">
        <v>38</v>
      </c>
      <c r="D35" s="243"/>
      <c r="E35" s="243"/>
      <c r="F35" s="244"/>
      <c r="G35" s="244"/>
      <c r="H35" s="253">
        <f>[4]BL1_New!B59</f>
        <v>500009385</v>
      </c>
      <c r="I35" s="258">
        <v>500009385</v>
      </c>
      <c r="J35" s="229">
        <f t="shared" si="1"/>
        <v>0</v>
      </c>
    </row>
    <row r="36" spans="1:11" ht="21.75" customHeight="1" thickTop="1" x14ac:dyDescent="0.45">
      <c r="A36" s="215" t="s">
        <v>69</v>
      </c>
      <c r="B36" s="242"/>
      <c r="D36" s="243"/>
      <c r="E36" s="243"/>
      <c r="F36" s="244"/>
      <c r="G36" s="244"/>
      <c r="H36" s="253"/>
      <c r="I36" s="259"/>
      <c r="J36" s="226">
        <f t="shared" si="1"/>
        <v>0</v>
      </c>
    </row>
    <row r="37" spans="1:11" ht="21.75" customHeight="1" x14ac:dyDescent="0.45">
      <c r="A37" s="242" t="s">
        <v>38</v>
      </c>
      <c r="D37" s="243"/>
      <c r="E37" s="243"/>
      <c r="F37" s="244"/>
      <c r="G37" s="244"/>
      <c r="H37" s="253">
        <f>[4]BL1_New!B60</f>
        <v>500009385</v>
      </c>
      <c r="I37" s="252">
        <v>500009385</v>
      </c>
      <c r="J37" s="223">
        <f t="shared" si="1"/>
        <v>0</v>
      </c>
    </row>
    <row r="38" spans="1:11" ht="21.75" customHeight="1" x14ac:dyDescent="0.45">
      <c r="A38" s="243" t="s">
        <v>31</v>
      </c>
      <c r="B38" s="248"/>
      <c r="C38" s="248"/>
      <c r="E38" s="243"/>
      <c r="F38" s="244"/>
      <c r="G38" s="244"/>
      <c r="H38" s="253">
        <f>[4]BL1_New!B63</f>
        <v>334232400</v>
      </c>
      <c r="I38" s="252">
        <v>334232400</v>
      </c>
      <c r="J38" s="226">
        <f t="shared" si="1"/>
        <v>0</v>
      </c>
    </row>
    <row r="39" spans="1:11" ht="21.75" customHeight="1" x14ac:dyDescent="0.45">
      <c r="A39" s="243" t="s">
        <v>23</v>
      </c>
      <c r="B39" s="248"/>
      <c r="C39" s="248"/>
      <c r="E39" s="243"/>
      <c r="F39" s="244"/>
      <c r="G39" s="244"/>
      <c r="H39" s="253">
        <f>[4]BL1_New!B65</f>
        <v>0</v>
      </c>
      <c r="I39" s="252">
        <v>0</v>
      </c>
      <c r="J39" s="229">
        <f t="shared" si="1"/>
        <v>0</v>
      </c>
      <c r="K39" s="230">
        <v>2</v>
      </c>
    </row>
    <row r="40" spans="1:11" ht="21.75" customHeight="1" x14ac:dyDescent="0.45">
      <c r="A40" s="247" t="s">
        <v>47</v>
      </c>
      <c r="C40" s="242"/>
      <c r="D40" s="243"/>
      <c r="E40" s="243"/>
      <c r="F40" s="244"/>
      <c r="G40" s="244"/>
      <c r="H40" s="253"/>
      <c r="I40" s="259"/>
      <c r="J40" s="226">
        <f t="shared" si="1"/>
        <v>0</v>
      </c>
    </row>
    <row r="41" spans="1:11" ht="21.75" customHeight="1" x14ac:dyDescent="0.45">
      <c r="B41" s="242" t="s">
        <v>24</v>
      </c>
      <c r="C41" s="242"/>
      <c r="D41" s="243"/>
      <c r="E41" s="243"/>
      <c r="F41" s="244"/>
      <c r="G41" s="244"/>
      <c r="H41" s="253"/>
      <c r="I41" s="259"/>
      <c r="J41" s="226">
        <f t="shared" si="1"/>
        <v>0</v>
      </c>
    </row>
    <row r="42" spans="1:11" ht="21.75" customHeight="1" x14ac:dyDescent="0.45">
      <c r="C42" s="242" t="s">
        <v>70</v>
      </c>
      <c r="D42" s="243"/>
      <c r="E42" s="243"/>
      <c r="F42" s="244"/>
      <c r="G42" s="244"/>
      <c r="H42" s="253">
        <f>[4]BL1_New!B68</f>
        <v>50100000</v>
      </c>
      <c r="I42" s="259">
        <v>47802346.659999996</v>
      </c>
      <c r="J42" s="226">
        <f t="shared" si="1"/>
        <v>2297653.3400000036</v>
      </c>
    </row>
    <row r="43" spans="1:11" ht="21.75" customHeight="1" x14ac:dyDescent="0.45">
      <c r="B43" s="242" t="s">
        <v>19</v>
      </c>
      <c r="D43" s="243"/>
      <c r="E43" s="243"/>
      <c r="F43" s="244"/>
      <c r="G43" s="244"/>
      <c r="H43" s="255">
        <f>SUM([4]BL1_New!B70:B72)</f>
        <v>1664687413.5999999</v>
      </c>
      <c r="I43" s="255">
        <v>1132217395.2</v>
      </c>
      <c r="J43" s="226">
        <f t="shared" si="1"/>
        <v>532470018.39999986</v>
      </c>
    </row>
    <row r="44" spans="1:11" ht="21.75" customHeight="1" x14ac:dyDescent="0.45">
      <c r="A44" s="246" t="s">
        <v>7</v>
      </c>
      <c r="B44" s="242"/>
      <c r="C44" s="242"/>
      <c r="E44" s="243"/>
      <c r="F44" s="244"/>
      <c r="G44" s="244"/>
      <c r="H44" s="251">
        <f>SUM(H37:H43)</f>
        <v>2549029198.5999999</v>
      </c>
      <c r="I44" s="251">
        <v>2014261526.8600001</v>
      </c>
      <c r="J44" s="226">
        <f t="shared" si="1"/>
        <v>534767671.73999977</v>
      </c>
    </row>
    <row r="45" spans="1:11" ht="30" customHeight="1" thickBot="1" x14ac:dyDescent="0.5">
      <c r="A45" s="249" t="s">
        <v>8</v>
      </c>
      <c r="B45" s="242"/>
      <c r="C45" s="242"/>
      <c r="E45" s="250"/>
      <c r="F45" s="244"/>
      <c r="G45" s="244"/>
      <c r="H45" s="260">
        <f>+H31+H44</f>
        <v>7204102958.1499996</v>
      </c>
      <c r="I45" s="260">
        <v>5076414068.4200001</v>
      </c>
      <c r="J45" s="226">
        <f>+H45-I45</f>
        <v>2127688889.7299995</v>
      </c>
    </row>
    <row r="46" spans="1:11" ht="22.5" thickTop="1" x14ac:dyDescent="0.45">
      <c r="H46" s="261">
        <f>+H45-H19</f>
        <v>0</v>
      </c>
      <c r="I46" s="261">
        <f>+I45-I19</f>
        <v>0</v>
      </c>
    </row>
  </sheetData>
  <mergeCells count="2">
    <mergeCell ref="A1:I1"/>
    <mergeCell ref="A2:I2"/>
  </mergeCells>
  <pageMargins left="0.31496062992125984" right="0.31496062992125984" top="0.74803149606299213" bottom="0.74803149606299213" header="0.31496062992125984" footer="0.31496062992125984"/>
  <pageSetup paperSize="9" orientation="portrait" r:id="rId1"/>
  <customProperties>
    <customPr name="QAA_DRILLPATH_NODE_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P67"/>
  <sheetViews>
    <sheetView workbookViewId="0">
      <selection activeCell="K36" sqref="K36"/>
    </sheetView>
  </sheetViews>
  <sheetFormatPr defaultColWidth="9.140625" defaultRowHeight="21.75" x14ac:dyDescent="0.45"/>
  <cols>
    <col min="1" max="3" width="2.7109375" style="1" customWidth="1"/>
    <col min="4" max="4" width="5.7109375" style="1" customWidth="1"/>
    <col min="5" max="5" width="21" style="1" customWidth="1"/>
    <col min="6" max="6" width="5.42578125" style="1" customWidth="1"/>
    <col min="7" max="7" width="19.5703125" style="1" customWidth="1"/>
    <col min="8" max="8" width="15.7109375" style="16" customWidth="1"/>
    <col min="9" max="9" width="15.85546875" style="16" bestFit="1" customWidth="1"/>
    <col min="10" max="10" width="15.7109375" style="16" customWidth="1"/>
    <col min="11" max="11" width="6.140625" style="1" customWidth="1"/>
    <col min="12" max="12" width="11.140625" style="1" customWidth="1"/>
    <col min="13" max="13" width="21" style="1" bestFit="1" customWidth="1"/>
    <col min="14" max="16" width="14.85546875" style="1" bestFit="1" customWidth="1"/>
    <col min="17" max="16384" width="9.140625" style="1"/>
  </cols>
  <sheetData>
    <row r="1" spans="1:11" ht="21.75" customHeight="1" x14ac:dyDescent="0.5">
      <c r="A1" s="446" t="s">
        <v>18</v>
      </c>
      <c r="B1" s="446"/>
      <c r="C1" s="446"/>
      <c r="D1" s="446"/>
      <c r="E1" s="446"/>
      <c r="F1" s="446"/>
      <c r="G1" s="446"/>
      <c r="H1" s="446"/>
    </row>
    <row r="2" spans="1:11" ht="19.5" customHeight="1" x14ac:dyDescent="0.5">
      <c r="A2" s="447" t="s">
        <v>0</v>
      </c>
      <c r="B2" s="447"/>
      <c r="C2" s="447"/>
      <c r="D2" s="447"/>
      <c r="E2" s="447"/>
      <c r="F2" s="447"/>
      <c r="G2" s="447"/>
      <c r="H2" s="447"/>
    </row>
    <row r="3" spans="1:11" ht="12" customHeight="1" x14ac:dyDescent="0.5">
      <c r="A3" s="437"/>
      <c r="B3" s="444"/>
      <c r="C3" s="444"/>
      <c r="D3" s="444"/>
      <c r="E3" s="444"/>
      <c r="F3" s="444"/>
      <c r="G3" s="444"/>
      <c r="H3" s="444"/>
    </row>
    <row r="4" spans="1:11" ht="21.75" customHeight="1" x14ac:dyDescent="0.45">
      <c r="A4" s="2" t="s">
        <v>1</v>
      </c>
      <c r="B4" s="2"/>
      <c r="C4" s="2"/>
      <c r="D4" s="2"/>
      <c r="E4" s="2"/>
      <c r="F4" s="2"/>
      <c r="G4" s="84">
        <v>40178</v>
      </c>
      <c r="H4" s="84">
        <v>39813</v>
      </c>
      <c r="I4" s="16" t="s">
        <v>50</v>
      </c>
    </row>
    <row r="5" spans="1:11" ht="10.5" customHeight="1" x14ac:dyDescent="0.45">
      <c r="A5" s="3"/>
      <c r="B5" s="3"/>
      <c r="C5" s="3"/>
      <c r="D5" s="3"/>
      <c r="F5" s="85"/>
      <c r="G5" s="85"/>
      <c r="H5" s="85"/>
    </row>
    <row r="6" spans="1:11" ht="21.75" customHeight="1" x14ac:dyDescent="0.45">
      <c r="A6" s="4" t="s">
        <v>22</v>
      </c>
      <c r="B6" s="5"/>
      <c r="C6" s="5"/>
      <c r="D6" s="5"/>
      <c r="E6" s="5"/>
      <c r="F6" s="86"/>
      <c r="G6" s="87">
        <v>240396815.74000001</v>
      </c>
      <c r="H6" s="87">
        <v>132483437.27</v>
      </c>
      <c r="I6" s="88">
        <f t="shared" ref="I6:I19" si="0">+G6-H6</f>
        <v>107913378.47000001</v>
      </c>
    </row>
    <row r="7" spans="1:11" ht="21.75" customHeight="1" x14ac:dyDescent="0.45">
      <c r="A7" s="4" t="s">
        <v>51</v>
      </c>
      <c r="C7" s="7"/>
      <c r="D7" s="7"/>
      <c r="E7" s="7"/>
      <c r="F7" s="89"/>
      <c r="G7" s="90"/>
      <c r="H7" s="90"/>
      <c r="I7" s="88">
        <f t="shared" si="0"/>
        <v>0</v>
      </c>
    </row>
    <row r="8" spans="1:11" ht="21.75" customHeight="1" x14ac:dyDescent="0.45">
      <c r="A8" s="6" t="s">
        <v>52</v>
      </c>
      <c r="B8" s="9"/>
      <c r="C8" s="9"/>
      <c r="E8" s="9"/>
      <c r="F8" s="86"/>
      <c r="G8" s="87">
        <v>214499688.06999999</v>
      </c>
      <c r="H8" s="87">
        <v>238213483.84999999</v>
      </c>
      <c r="I8" s="88">
        <f t="shared" si="0"/>
        <v>-23713795.780000001</v>
      </c>
      <c r="J8" s="91">
        <v>2</v>
      </c>
    </row>
    <row r="9" spans="1:11" ht="21.75" customHeight="1" x14ac:dyDescent="0.45">
      <c r="A9" s="6" t="s">
        <v>53</v>
      </c>
      <c r="B9" s="9"/>
      <c r="C9" s="9"/>
      <c r="E9" s="9"/>
      <c r="F9" s="86"/>
      <c r="G9" s="87">
        <v>1000000</v>
      </c>
      <c r="H9" s="87"/>
      <c r="I9" s="88">
        <f t="shared" si="0"/>
        <v>1000000</v>
      </c>
    </row>
    <row r="10" spans="1:11" ht="21.75" customHeight="1" x14ac:dyDescent="0.45">
      <c r="A10" s="6" t="s">
        <v>54</v>
      </c>
      <c r="B10" s="9"/>
      <c r="C10" s="9"/>
      <c r="E10" s="9"/>
      <c r="F10" s="86"/>
      <c r="G10" s="87"/>
      <c r="H10" s="87"/>
      <c r="I10" s="88"/>
    </row>
    <row r="11" spans="1:11" ht="22.5" customHeight="1" x14ac:dyDescent="0.45">
      <c r="A11" s="6" t="s">
        <v>39</v>
      </c>
      <c r="B11" s="9"/>
      <c r="C11" s="9"/>
      <c r="E11" s="9"/>
      <c r="F11" s="86"/>
      <c r="G11" s="87">
        <v>22999787.460000001</v>
      </c>
      <c r="H11" s="87">
        <v>28155850</v>
      </c>
      <c r="I11" s="92">
        <f>+G11-H11</f>
        <v>-5156062.5399999991</v>
      </c>
      <c r="J11" s="92">
        <f>SUM(I11:I12)</f>
        <v>1529373379.3900003</v>
      </c>
      <c r="K11" s="93">
        <v>3.1</v>
      </c>
    </row>
    <row r="12" spans="1:11" ht="22.5" customHeight="1" x14ac:dyDescent="0.45">
      <c r="A12" s="6" t="s">
        <v>45</v>
      </c>
      <c r="B12" s="9"/>
      <c r="C12" s="9"/>
      <c r="E12" s="9"/>
      <c r="F12" s="86"/>
      <c r="G12" s="87">
        <v>2644466758.3000002</v>
      </c>
      <c r="H12" s="87">
        <v>1109937316.3699999</v>
      </c>
      <c r="I12" s="92">
        <f>+G12-H12</f>
        <v>1534529441.9300003</v>
      </c>
    </row>
    <row r="13" spans="1:11" ht="21.75" customHeight="1" x14ac:dyDescent="0.45">
      <c r="A13" s="1" t="s">
        <v>55</v>
      </c>
      <c r="B13" s="7"/>
      <c r="C13" s="7"/>
      <c r="D13" s="9"/>
      <c r="E13" s="23"/>
      <c r="F13" s="86"/>
      <c r="G13" s="87">
        <v>65906311.939999998</v>
      </c>
      <c r="H13" s="87">
        <v>71132547.969999999</v>
      </c>
      <c r="I13" s="88">
        <f t="shared" si="0"/>
        <v>-5226236.0300000012</v>
      </c>
    </row>
    <row r="14" spans="1:11" ht="21.75" customHeight="1" x14ac:dyDescent="0.45">
      <c r="A14" s="6" t="s">
        <v>56</v>
      </c>
      <c r="B14" s="9"/>
      <c r="C14" s="9"/>
      <c r="D14" s="9"/>
      <c r="E14" s="9"/>
      <c r="F14" s="86"/>
      <c r="G14" s="87">
        <v>36927697.060000002</v>
      </c>
      <c r="H14" s="87">
        <v>37845695.039999999</v>
      </c>
      <c r="I14" s="88">
        <f t="shared" si="0"/>
        <v>-917997.97999999672</v>
      </c>
      <c r="J14" s="94"/>
    </row>
    <row r="15" spans="1:11" ht="21.75" customHeight="1" x14ac:dyDescent="0.45">
      <c r="A15" s="6" t="s">
        <v>57</v>
      </c>
      <c r="B15" s="9"/>
      <c r="C15" s="9"/>
      <c r="D15" s="9"/>
      <c r="E15" s="9"/>
      <c r="F15" s="86"/>
      <c r="G15" s="87">
        <v>209305.31</v>
      </c>
      <c r="H15" s="87">
        <v>223000.83</v>
      </c>
      <c r="I15" s="88">
        <f t="shared" si="0"/>
        <v>-13695.51999999999</v>
      </c>
      <c r="J15" s="91">
        <v>4</v>
      </c>
    </row>
    <row r="16" spans="1:11" ht="21.75" customHeight="1" x14ac:dyDescent="0.45">
      <c r="A16" s="6" t="s">
        <v>58</v>
      </c>
      <c r="B16" s="9"/>
      <c r="C16" s="9"/>
      <c r="D16" s="9"/>
      <c r="E16" s="9"/>
      <c r="F16" s="86"/>
      <c r="G16" s="87">
        <f>12020178.73+400000</f>
        <v>12420178.73</v>
      </c>
      <c r="H16" s="87">
        <v>10908966.24</v>
      </c>
      <c r="I16" s="88">
        <f t="shared" si="0"/>
        <v>1511212.4900000002</v>
      </c>
      <c r="J16" s="91">
        <v>3</v>
      </c>
    </row>
    <row r="17" spans="1:16" ht="21.75" customHeight="1" x14ac:dyDescent="0.45">
      <c r="A17" s="6" t="s">
        <v>59</v>
      </c>
      <c r="B17" s="9"/>
      <c r="C17" s="9"/>
      <c r="D17" s="9"/>
      <c r="E17" s="9"/>
      <c r="F17" s="86"/>
      <c r="G17" s="87">
        <v>11318168.43</v>
      </c>
      <c r="H17" s="87">
        <v>16403919.119999999</v>
      </c>
      <c r="I17" s="88">
        <f t="shared" si="0"/>
        <v>-5085750.6899999995</v>
      </c>
      <c r="J17" s="91">
        <v>3.3</v>
      </c>
    </row>
    <row r="18" spans="1:16" ht="21.75" customHeight="1" x14ac:dyDescent="0.45">
      <c r="A18" s="9" t="s">
        <v>12</v>
      </c>
      <c r="B18" s="7"/>
      <c r="C18" s="7"/>
      <c r="D18" s="4"/>
      <c r="E18" s="23"/>
      <c r="F18" s="86"/>
      <c r="G18" s="95">
        <f>49662223.3-G15-G16-G17</f>
        <v>25714570.829999991</v>
      </c>
      <c r="H18" s="95">
        <f>51129605.45-H15-H16-H17</f>
        <v>23593719.260000005</v>
      </c>
      <c r="I18" s="96">
        <f>+G18-H18</f>
        <v>2120851.5699999854</v>
      </c>
      <c r="J18" s="91">
        <v>3.2</v>
      </c>
      <c r="K18" s="93"/>
      <c r="L18" s="97"/>
      <c r="N18" s="97"/>
    </row>
    <row r="19" spans="1:16" ht="27" customHeight="1" thickBot="1" x14ac:dyDescent="0.5">
      <c r="A19" s="22" t="s">
        <v>2</v>
      </c>
      <c r="B19" s="7"/>
      <c r="C19" s="7"/>
      <c r="E19" s="4"/>
      <c r="F19" s="86"/>
      <c r="G19" s="98">
        <f>SUM(G6:G18)</f>
        <v>3275859281.8699999</v>
      </c>
      <c r="H19" s="98">
        <f>SUM(H6:H18)</f>
        <v>1668897935.9499996</v>
      </c>
      <c r="I19" s="88">
        <f t="shared" si="0"/>
        <v>1606961345.9200003</v>
      </c>
      <c r="J19" s="91"/>
      <c r="K19" s="99"/>
      <c r="L19" s="97"/>
      <c r="M19" s="97"/>
    </row>
    <row r="20" spans="1:16" ht="17.25" customHeight="1" thickTop="1" x14ac:dyDescent="0.45">
      <c r="A20" s="22"/>
      <c r="B20" s="7"/>
      <c r="C20" s="7"/>
      <c r="E20" s="4"/>
      <c r="F20" s="86"/>
      <c r="G20" s="87"/>
      <c r="H20" s="100"/>
      <c r="I20" s="88"/>
      <c r="K20" s="101"/>
    </row>
    <row r="21" spans="1:16" ht="21.75" customHeight="1" x14ac:dyDescent="0.45">
      <c r="A21" s="2" t="s">
        <v>3</v>
      </c>
      <c r="B21" s="2"/>
      <c r="C21" s="2"/>
      <c r="D21" s="2"/>
      <c r="E21" s="2"/>
      <c r="F21" s="102"/>
      <c r="G21" s="103"/>
      <c r="H21" s="87"/>
      <c r="I21" s="88"/>
    </row>
    <row r="22" spans="1:16" ht="21.75" customHeight="1" x14ac:dyDescent="0.5">
      <c r="A22" s="3" t="s">
        <v>60</v>
      </c>
      <c r="B22" s="2"/>
      <c r="C22" s="2"/>
      <c r="D22" s="2"/>
      <c r="E22" s="2"/>
      <c r="F22" s="102"/>
      <c r="G22" s="87">
        <v>0</v>
      </c>
      <c r="H22" s="87">
        <v>0</v>
      </c>
      <c r="I22" s="88">
        <f t="shared" ref="I22:I28" si="1">+G22-H22</f>
        <v>0</v>
      </c>
      <c r="J22" s="91">
        <v>7</v>
      </c>
      <c r="M22" s="1" t="s">
        <v>61</v>
      </c>
      <c r="N22" s="104">
        <v>40178</v>
      </c>
      <c r="O22" s="84">
        <v>39813</v>
      </c>
      <c r="P22" s="105" t="s">
        <v>50</v>
      </c>
    </row>
    <row r="23" spans="1:16" ht="21.75" customHeight="1" x14ac:dyDescent="0.5">
      <c r="A23" s="6" t="s">
        <v>40</v>
      </c>
      <c r="B23" s="53"/>
      <c r="C23" s="53"/>
      <c r="D23" s="53"/>
      <c r="E23" s="53"/>
      <c r="F23" s="106"/>
      <c r="G23" s="107">
        <v>1544641595.4100001</v>
      </c>
      <c r="H23" s="107">
        <v>658822211.5</v>
      </c>
      <c r="I23" s="108">
        <f t="shared" si="1"/>
        <v>885819383.91000009</v>
      </c>
      <c r="L23" s="1">
        <v>232110</v>
      </c>
      <c r="M23" s="1" t="s">
        <v>62</v>
      </c>
      <c r="N23" s="109">
        <v>388657485.38999999</v>
      </c>
      <c r="O23" s="109">
        <v>146128550.16</v>
      </c>
      <c r="P23" s="110">
        <f>+N23-O23</f>
        <v>242528935.22999999</v>
      </c>
    </row>
    <row r="24" spans="1:16" ht="21.75" customHeight="1" x14ac:dyDescent="0.5">
      <c r="A24" s="6" t="s">
        <v>46</v>
      </c>
      <c r="B24" s="53"/>
      <c r="C24" s="53"/>
      <c r="D24" s="53"/>
      <c r="E24" s="53"/>
      <c r="F24" s="106"/>
      <c r="G24" s="107">
        <v>626255316.76999998</v>
      </c>
      <c r="H24" s="107">
        <v>214170198.83000001</v>
      </c>
      <c r="I24" s="108">
        <f t="shared" si="1"/>
        <v>412085117.93999994</v>
      </c>
      <c r="J24" s="111">
        <f>SUM(I23:I24)-P27</f>
        <v>955129900.87999988</v>
      </c>
      <c r="K24" s="93">
        <v>6.1</v>
      </c>
      <c r="L24" s="1">
        <v>232111</v>
      </c>
      <c r="M24" s="1" t="s">
        <v>63</v>
      </c>
      <c r="N24" s="109">
        <v>325949393.68000001</v>
      </c>
      <c r="O24" s="109">
        <v>176763150.12</v>
      </c>
      <c r="P24" s="110">
        <f>+N24-O24</f>
        <v>149186243.56</v>
      </c>
    </row>
    <row r="25" spans="1:16" ht="21.75" customHeight="1" x14ac:dyDescent="0.45">
      <c r="A25" s="12" t="s">
        <v>16</v>
      </c>
      <c r="B25" s="10"/>
      <c r="C25" s="12"/>
      <c r="D25" s="10"/>
      <c r="E25" s="10"/>
      <c r="F25" s="112"/>
      <c r="G25" s="87">
        <v>98299086.980000004</v>
      </c>
      <c r="H25" s="87">
        <v>67636423.400000006</v>
      </c>
      <c r="I25" s="88">
        <f t="shared" si="1"/>
        <v>30662663.579999998</v>
      </c>
      <c r="J25" s="113">
        <f>+I25-0</f>
        <v>30662663.579999998</v>
      </c>
      <c r="K25" s="93">
        <v>5</v>
      </c>
      <c r="L25" s="1">
        <v>232112</v>
      </c>
      <c r="M25" s="1" t="s">
        <v>64</v>
      </c>
      <c r="N25" s="109">
        <v>118776899.23999999</v>
      </c>
      <c r="O25" s="109">
        <v>167717477.06</v>
      </c>
      <c r="P25" s="110">
        <f>+N25-O25</f>
        <v>-48940577.820000008</v>
      </c>
    </row>
    <row r="26" spans="1:16" ht="21.75" customHeight="1" x14ac:dyDescent="0.45">
      <c r="A26" s="12" t="s">
        <v>65</v>
      </c>
      <c r="B26" s="10"/>
      <c r="C26" s="12"/>
      <c r="D26" s="10"/>
      <c r="E26" s="10"/>
      <c r="F26" s="112"/>
      <c r="G26" s="87"/>
      <c r="H26" s="87">
        <v>0</v>
      </c>
      <c r="I26" s="114">
        <f t="shared" si="1"/>
        <v>0</v>
      </c>
      <c r="K26" s="16"/>
      <c r="L26" s="1">
        <v>232310</v>
      </c>
      <c r="M26" s="1" t="s">
        <v>66</v>
      </c>
      <c r="N26" s="109">
        <v>0</v>
      </c>
      <c r="O26" s="115">
        <v>0</v>
      </c>
      <c r="P26" s="110">
        <f>+N26-O26</f>
        <v>0</v>
      </c>
    </row>
    <row r="27" spans="1:16" ht="21.75" customHeight="1" thickBot="1" x14ac:dyDescent="0.5">
      <c r="A27" s="12" t="s">
        <v>4</v>
      </c>
      <c r="B27" s="10"/>
      <c r="C27" s="12"/>
      <c r="D27" s="10"/>
      <c r="E27" s="10"/>
      <c r="F27" s="112"/>
      <c r="G27" s="95">
        <f>64828565.08+16947904.54</f>
        <v>81776469.620000005</v>
      </c>
      <c r="H27" s="95">
        <f>83576045.19-H25</f>
        <v>15939621.789999992</v>
      </c>
      <c r="I27" s="114">
        <f t="shared" si="1"/>
        <v>65836847.830000013</v>
      </c>
      <c r="J27" s="113">
        <f>SUM(I26:I27)-2378935.2-11698551.35+P27</f>
        <v>394533962.25</v>
      </c>
      <c r="K27" s="116">
        <v>6</v>
      </c>
      <c r="M27" s="117" t="s">
        <v>67</v>
      </c>
      <c r="N27" s="118">
        <f>SUM(N23:N26)</f>
        <v>833383778.30999994</v>
      </c>
      <c r="O27" s="118">
        <f>SUM(O23:O26)</f>
        <v>490609177.33999997</v>
      </c>
      <c r="P27" s="119">
        <f>+N27-O27</f>
        <v>342774600.96999997</v>
      </c>
    </row>
    <row r="28" spans="1:16" ht="21.75" customHeight="1" thickTop="1" x14ac:dyDescent="0.45">
      <c r="A28" s="24" t="s">
        <v>5</v>
      </c>
      <c r="B28" s="12"/>
      <c r="C28" s="12"/>
      <c r="E28" s="10"/>
      <c r="F28" s="112"/>
      <c r="G28" s="103">
        <f>SUM(G22:G27)</f>
        <v>2350972468.7800002</v>
      </c>
      <c r="H28" s="103">
        <f>SUM(H22:H27)</f>
        <v>956568455.51999998</v>
      </c>
      <c r="I28" s="88">
        <f t="shared" si="1"/>
        <v>1394404013.2600002</v>
      </c>
      <c r="M28" s="117" t="s">
        <v>68</v>
      </c>
    </row>
    <row r="29" spans="1:16" ht="21.75" customHeight="1" x14ac:dyDescent="0.45">
      <c r="A29" s="42" t="s">
        <v>6</v>
      </c>
      <c r="B29" s="12"/>
      <c r="C29" s="12"/>
      <c r="D29" s="10"/>
      <c r="E29" s="10"/>
      <c r="F29" s="112"/>
      <c r="G29" s="112"/>
      <c r="H29" s="50"/>
      <c r="I29" s="120"/>
    </row>
    <row r="30" spans="1:16" ht="21.75" customHeight="1" x14ac:dyDescent="0.45">
      <c r="A30" s="121" t="s">
        <v>14</v>
      </c>
      <c r="C30" s="12"/>
      <c r="D30" s="10"/>
      <c r="E30" s="10"/>
      <c r="F30" s="112"/>
      <c r="G30" s="112"/>
      <c r="H30" s="50"/>
      <c r="I30" s="120"/>
    </row>
    <row r="31" spans="1:16" ht="21.75" customHeight="1" x14ac:dyDescent="0.45">
      <c r="A31" s="12" t="s">
        <v>34</v>
      </c>
      <c r="C31" s="12"/>
      <c r="D31" s="10"/>
      <c r="E31" s="10"/>
      <c r="F31" s="112"/>
      <c r="G31" s="112"/>
      <c r="H31" s="50"/>
      <c r="I31" s="120"/>
    </row>
    <row r="32" spans="1:16" ht="21.75" customHeight="1" thickBot="1" x14ac:dyDescent="0.5">
      <c r="A32" s="12" t="s">
        <v>38</v>
      </c>
      <c r="D32" s="10"/>
      <c r="E32" s="10"/>
      <c r="F32" s="112"/>
      <c r="G32" s="122">
        <v>300000000</v>
      </c>
      <c r="H32" s="122">
        <v>300000000</v>
      </c>
      <c r="I32" s="88">
        <f>+G32-H32</f>
        <v>0</v>
      </c>
    </row>
    <row r="33" spans="1:10" ht="21.75" customHeight="1" thickTop="1" x14ac:dyDescent="0.45">
      <c r="A33" s="1" t="s">
        <v>69</v>
      </c>
      <c r="B33" s="12"/>
      <c r="D33" s="10"/>
      <c r="E33" s="10"/>
      <c r="F33" s="112"/>
      <c r="G33" s="123"/>
      <c r="H33" s="123"/>
      <c r="I33" s="88"/>
    </row>
    <row r="34" spans="1:10" ht="21.75" customHeight="1" x14ac:dyDescent="0.45">
      <c r="A34" s="12" t="s">
        <v>38</v>
      </c>
      <c r="D34" s="10"/>
      <c r="E34" s="10"/>
      <c r="F34" s="112"/>
      <c r="G34" s="87">
        <v>300000000</v>
      </c>
      <c r="H34" s="87">
        <v>300000000</v>
      </c>
      <c r="I34" s="88">
        <f>+G34-H34</f>
        <v>0</v>
      </c>
    </row>
    <row r="35" spans="1:10" ht="21.75" customHeight="1" x14ac:dyDescent="0.45">
      <c r="A35" s="10" t="s">
        <v>31</v>
      </c>
      <c r="B35" s="11"/>
      <c r="C35" s="11"/>
      <c r="E35" s="10"/>
      <c r="F35" s="112"/>
      <c r="G35" s="87">
        <v>334232400</v>
      </c>
      <c r="H35" s="87">
        <v>334232400</v>
      </c>
      <c r="I35" s="88">
        <f>+G35-H35</f>
        <v>0</v>
      </c>
    </row>
    <row r="36" spans="1:10" ht="21.75" customHeight="1" x14ac:dyDescent="0.45">
      <c r="A36" s="10" t="s">
        <v>23</v>
      </c>
      <c r="B36" s="11"/>
      <c r="C36" s="11"/>
      <c r="E36" s="10"/>
      <c r="F36" s="112"/>
      <c r="G36" s="87">
        <v>459482.59</v>
      </c>
      <c r="H36" s="87">
        <v>1388234.12</v>
      </c>
      <c r="I36" s="88">
        <f>+G36-H36</f>
        <v>-928751.53</v>
      </c>
      <c r="J36" s="91">
        <v>2</v>
      </c>
    </row>
    <row r="37" spans="1:10" ht="21.75" customHeight="1" x14ac:dyDescent="0.45">
      <c r="A37" s="121" t="s">
        <v>47</v>
      </c>
      <c r="C37" s="12"/>
      <c r="D37" s="10"/>
      <c r="E37" s="10"/>
      <c r="F37" s="112"/>
      <c r="G37" s="123"/>
      <c r="H37" s="123"/>
      <c r="I37" s="88"/>
    </row>
    <row r="38" spans="1:10" ht="21.75" customHeight="1" x14ac:dyDescent="0.45">
      <c r="B38" s="12" t="s">
        <v>24</v>
      </c>
      <c r="C38" s="12"/>
      <c r="D38" s="10"/>
      <c r="E38" s="10"/>
      <c r="F38" s="112"/>
      <c r="G38" s="123"/>
      <c r="H38" s="123"/>
      <c r="I38" s="88"/>
    </row>
    <row r="39" spans="1:10" ht="21.75" customHeight="1" x14ac:dyDescent="0.45">
      <c r="C39" s="12" t="s">
        <v>70</v>
      </c>
      <c r="D39" s="10"/>
      <c r="E39" s="10"/>
      <c r="F39" s="112"/>
      <c r="G39" s="123">
        <v>30000000</v>
      </c>
      <c r="H39" s="123">
        <v>30000000</v>
      </c>
      <c r="I39" s="88">
        <f>+G39-H39</f>
        <v>0</v>
      </c>
    </row>
    <row r="40" spans="1:10" ht="21.75" customHeight="1" x14ac:dyDescent="0.45">
      <c r="B40" s="12" t="s">
        <v>19</v>
      </c>
      <c r="D40" s="10"/>
      <c r="E40" s="10"/>
      <c r="F40" s="112"/>
      <c r="G40" s="124">
        <v>260194930.5</v>
      </c>
      <c r="H40" s="124">
        <v>46708846.310000002</v>
      </c>
      <c r="I40" s="88">
        <f>+G40-H40</f>
        <v>213486084.19</v>
      </c>
    </row>
    <row r="41" spans="1:10" ht="21.75" customHeight="1" x14ac:dyDescent="0.45">
      <c r="A41" s="24" t="s">
        <v>7</v>
      </c>
      <c r="B41" s="12"/>
      <c r="C41" s="12"/>
      <c r="E41" s="10"/>
      <c r="F41" s="112"/>
      <c r="G41" s="103">
        <f>SUM(G34:G40)</f>
        <v>924886813.09000003</v>
      </c>
      <c r="H41" s="103">
        <f>SUM(H34:H40)</f>
        <v>712329480.43000007</v>
      </c>
      <c r="I41" s="88">
        <f>+G41-H41</f>
        <v>212557332.65999997</v>
      </c>
    </row>
    <row r="42" spans="1:10" ht="30" customHeight="1" thickBot="1" x14ac:dyDescent="0.5">
      <c r="A42" s="25" t="s">
        <v>8</v>
      </c>
      <c r="B42" s="12"/>
      <c r="C42" s="12"/>
      <c r="E42" s="14"/>
      <c r="F42" s="112"/>
      <c r="G42" s="125">
        <f>+G28+G41</f>
        <v>3275859281.8700004</v>
      </c>
      <c r="H42" s="125">
        <f>+H28+H41</f>
        <v>1668897935.95</v>
      </c>
      <c r="I42" s="88">
        <f>+G42-H42</f>
        <v>1606961345.9200003</v>
      </c>
    </row>
    <row r="43" spans="1:10" ht="20.25" customHeight="1" thickTop="1" x14ac:dyDescent="0.45">
      <c r="A43" s="25"/>
      <c r="B43" s="12"/>
      <c r="C43" s="12"/>
      <c r="E43" s="14"/>
      <c r="F43" s="112"/>
      <c r="G43" s="50">
        <f>+G42-G19</f>
        <v>0</v>
      </c>
      <c r="H43" s="50">
        <f>+H42-H19</f>
        <v>0</v>
      </c>
    </row>
    <row r="44" spans="1:10" ht="16.5" customHeight="1" x14ac:dyDescent="0.45">
      <c r="A44" s="25" t="s">
        <v>71</v>
      </c>
      <c r="B44" s="12"/>
      <c r="C44" s="12" t="s">
        <v>72</v>
      </c>
      <c r="D44" s="1" t="s">
        <v>73</v>
      </c>
      <c r="E44" s="14"/>
      <c r="F44" s="112"/>
      <c r="G44" s="126">
        <f>SUM(G61:G65)</f>
        <v>126250.77</v>
      </c>
      <c r="H44" s="127"/>
      <c r="I44" s="91"/>
    </row>
    <row r="45" spans="1:10" ht="21.75" customHeight="1" x14ac:dyDescent="0.45">
      <c r="A45" s="10"/>
      <c r="B45" s="11"/>
      <c r="C45" s="12" t="s">
        <v>74</v>
      </c>
      <c r="D45" s="128" t="s">
        <v>75</v>
      </c>
      <c r="E45" s="128"/>
      <c r="F45" s="14"/>
      <c r="G45" s="14"/>
      <c r="H45" s="14"/>
    </row>
    <row r="46" spans="1:10" x14ac:dyDescent="0.45">
      <c r="C46" s="129" t="s">
        <v>76</v>
      </c>
      <c r="D46" s="130" t="s">
        <v>77</v>
      </c>
      <c r="E46" s="130"/>
      <c r="F46" s="131"/>
      <c r="G46" s="131"/>
      <c r="H46" s="131"/>
      <c r="I46" s="132">
        <f>+I47-I48-I49-I50</f>
        <v>3051665.22</v>
      </c>
    </row>
    <row r="47" spans="1:10" x14ac:dyDescent="0.45">
      <c r="C47" s="133"/>
      <c r="D47" s="64" t="s">
        <v>78</v>
      </c>
      <c r="E47" s="64"/>
      <c r="F47" s="134"/>
      <c r="G47" s="134"/>
      <c r="H47" s="135"/>
      <c r="I47" s="136">
        <f>SUM(H53:H58)</f>
        <v>4089845.1</v>
      </c>
    </row>
    <row r="48" spans="1:10" x14ac:dyDescent="0.45">
      <c r="C48" s="133"/>
      <c r="D48" s="64" t="s">
        <v>79</v>
      </c>
      <c r="E48" s="64"/>
      <c r="F48" s="134"/>
      <c r="G48" s="134"/>
      <c r="H48" s="135"/>
      <c r="I48" s="136">
        <f>SUM(G59)</f>
        <v>909805.69</v>
      </c>
      <c r="J48" s="16">
        <v>-2123.42</v>
      </c>
    </row>
    <row r="49" spans="3:9" x14ac:dyDescent="0.45">
      <c r="C49" s="133"/>
      <c r="D49" s="64" t="s">
        <v>80</v>
      </c>
      <c r="E49" s="64"/>
      <c r="F49" s="134"/>
      <c r="G49" s="134"/>
      <c r="H49" s="135"/>
      <c r="I49" s="136">
        <v>2123.42</v>
      </c>
    </row>
    <row r="50" spans="3:9" x14ac:dyDescent="0.45">
      <c r="C50" s="137"/>
      <c r="D50" s="138" t="s">
        <v>81</v>
      </c>
      <c r="E50" s="138"/>
      <c r="F50" s="139"/>
      <c r="G50" s="139"/>
      <c r="H50" s="140"/>
      <c r="I50" s="141">
        <f>SUM(G61:G65)</f>
        <v>126250.77</v>
      </c>
    </row>
    <row r="51" spans="3:9" x14ac:dyDescent="0.45">
      <c r="D51" s="142" t="s">
        <v>82</v>
      </c>
      <c r="E51" s="143"/>
      <c r="F51" s="144"/>
      <c r="G51" s="144"/>
      <c r="H51" s="145">
        <f>H66</f>
        <v>3051665.2199999997</v>
      </c>
    </row>
    <row r="52" spans="3:9" ht="9" customHeight="1" x14ac:dyDescent="0.45">
      <c r="E52" s="146"/>
      <c r="F52" s="147"/>
      <c r="G52" s="147"/>
      <c r="H52" s="148"/>
    </row>
    <row r="53" spans="3:9" x14ac:dyDescent="0.45">
      <c r="E53" s="1" t="s">
        <v>83</v>
      </c>
      <c r="F53" s="147"/>
      <c r="H53" s="149">
        <f>131984.5*4</f>
        <v>527938</v>
      </c>
    </row>
    <row r="54" spans="3:9" x14ac:dyDescent="0.45">
      <c r="E54" s="1" t="s">
        <v>84</v>
      </c>
      <c r="F54" s="147" t="s">
        <v>85</v>
      </c>
      <c r="H54" s="149">
        <f>181958.54*14</f>
        <v>2547419.56</v>
      </c>
    </row>
    <row r="55" spans="3:9" x14ac:dyDescent="0.45">
      <c r="E55" s="1" t="s">
        <v>86</v>
      </c>
      <c r="F55" s="147" t="s">
        <v>87</v>
      </c>
      <c r="H55" s="149">
        <f>34668*6</f>
        <v>208008</v>
      </c>
    </row>
    <row r="56" spans="3:9" x14ac:dyDescent="0.45">
      <c r="E56" s="1" t="s">
        <v>88</v>
      </c>
      <c r="F56" s="147" t="s">
        <v>89</v>
      </c>
      <c r="H56" s="149">
        <f>44303.35*4</f>
        <v>177213.4</v>
      </c>
    </row>
    <row r="57" spans="3:9" x14ac:dyDescent="0.45">
      <c r="E57" s="1" t="s">
        <v>90</v>
      </c>
      <c r="F57" s="147" t="s">
        <v>91</v>
      </c>
      <c r="H57" s="149">
        <f>8613.07*2</f>
        <v>17226.14</v>
      </c>
    </row>
    <row r="58" spans="3:9" x14ac:dyDescent="0.45">
      <c r="E58" s="1" t="s">
        <v>92</v>
      </c>
      <c r="F58" s="147"/>
      <c r="H58" s="149">
        <f>153010*4</f>
        <v>612040</v>
      </c>
    </row>
    <row r="59" spans="3:9" x14ac:dyDescent="0.45">
      <c r="E59" s="1" t="s">
        <v>93</v>
      </c>
      <c r="F59" s="147"/>
      <c r="G59" s="149">
        <v>909805.69</v>
      </c>
      <c r="H59" s="148"/>
    </row>
    <row r="60" spans="3:9" x14ac:dyDescent="0.45">
      <c r="E60" s="1" t="s">
        <v>94</v>
      </c>
      <c r="F60" s="147"/>
      <c r="G60" s="149">
        <v>2123.42</v>
      </c>
      <c r="H60" s="148"/>
    </row>
    <row r="61" spans="3:9" x14ac:dyDescent="0.45">
      <c r="E61" s="1" t="s">
        <v>95</v>
      </c>
      <c r="F61" s="147"/>
      <c r="G61" s="149">
        <f>4791.29+4791.28+4791.28+4791.29</f>
        <v>19165.14</v>
      </c>
      <c r="H61" s="148"/>
    </row>
    <row r="62" spans="3:9" x14ac:dyDescent="0.45">
      <c r="E62" s="1" t="s">
        <v>96</v>
      </c>
      <c r="F62" s="147" t="s">
        <v>85</v>
      </c>
      <c r="G62" s="150">
        <f>(6605.43*9)+(6605.44*5)</f>
        <v>92476.07</v>
      </c>
      <c r="H62" s="148"/>
    </row>
    <row r="63" spans="3:9" x14ac:dyDescent="0.45">
      <c r="E63" s="1" t="s">
        <v>96</v>
      </c>
      <c r="F63" s="147" t="s">
        <v>87</v>
      </c>
      <c r="G63" s="150">
        <f>1258.51*6</f>
        <v>7551.0599999999995</v>
      </c>
      <c r="H63" s="148"/>
    </row>
    <row r="64" spans="3:9" x14ac:dyDescent="0.45">
      <c r="E64" s="1" t="s">
        <v>96</v>
      </c>
      <c r="F64" s="147" t="s">
        <v>89</v>
      </c>
      <c r="G64" s="150">
        <f>1608.29*4</f>
        <v>6433.16</v>
      </c>
      <c r="H64" s="148"/>
    </row>
    <row r="65" spans="5:9" x14ac:dyDescent="0.45">
      <c r="E65" s="1" t="s">
        <v>96</v>
      </c>
      <c r="F65" s="147" t="s">
        <v>91</v>
      </c>
      <c r="G65" s="151">
        <f>312.67*2</f>
        <v>625.34</v>
      </c>
      <c r="H65" s="152">
        <f>-SUM(G59:G65)</f>
        <v>-1038179.8800000001</v>
      </c>
    </row>
    <row r="66" spans="5:9" ht="22.5" thickBot="1" x14ac:dyDescent="0.5">
      <c r="G66" s="146"/>
      <c r="H66" s="153">
        <f>SUM(H53:H65)</f>
        <v>3051665.2199999997</v>
      </c>
      <c r="I66" s="94"/>
    </row>
    <row r="67" spans="5:9" ht="22.5" thickTop="1" x14ac:dyDescent="0.45">
      <c r="G67" s="146"/>
    </row>
  </sheetData>
  <mergeCells count="3">
    <mergeCell ref="A1:H1"/>
    <mergeCell ref="A2:H2"/>
    <mergeCell ref="A3:H3"/>
  </mergeCells>
  <phoneticPr fontId="14" type="noConversion"/>
  <pageMargins left="0.75" right="0.75" top="1" bottom="1" header="0.5" footer="0.5"/>
  <pageSetup paperSize="9" orientation="portrait" horizontalDpi="1200" verticalDpi="1200" r:id="rId1"/>
  <headerFooter alignWithMargins="0"/>
  <customProperties>
    <customPr name="QAA_DRILLPATH_NODE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BL</vt:lpstr>
      <vt:lpstr>PF</vt:lpstr>
      <vt:lpstr>CF</vt:lpstr>
      <vt:lpstr>Other-SH</vt:lpstr>
      <vt:lpstr>CF_Old</vt:lpstr>
      <vt:lpstr>worksheetCF</vt:lpstr>
      <vt:lpstr>worksheet CF</vt:lpstr>
      <vt:lpstr>BL!Print_Area</vt:lpstr>
      <vt:lpstr>CF!Print_Area</vt:lpstr>
      <vt:lpstr>CF_Old!Print_Area</vt:lpstr>
      <vt:lpstr>'Other-SH'!Print_Area</vt:lpstr>
      <vt:lpstr>PF!Print_Area</vt:lpstr>
      <vt:lpstr>worksheetCF!Print_Area</vt:lpstr>
    </vt:vector>
  </TitlesOfParts>
  <Company>KPMG Advisory (Thailand)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Pawallapat, Tunsrisuroj</dc:creator>
  <cp:lastModifiedBy>AHS SSRU</cp:lastModifiedBy>
  <cp:lastPrinted>2023-01-18T06:53:30Z</cp:lastPrinted>
  <dcterms:created xsi:type="dcterms:W3CDTF">2000-07-31T06:46:52Z</dcterms:created>
  <dcterms:modified xsi:type="dcterms:W3CDTF">2023-01-18T06:58:34Z</dcterms:modified>
</cp:coreProperties>
</file>